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2019년\03 손실보상\09 방산동 (3단계)\"/>
    </mc:Choice>
  </mc:AlternateContent>
  <bookViews>
    <workbookView xWindow="13905" yWindow="-90" windowWidth="13875" windowHeight="12675" tabRatio="777" firstSheet="7" activeTab="7"/>
  </bookViews>
  <sheets>
    <sheet name="증가집계표" sheetId="118" state="hidden" r:id="rId1"/>
    <sheet name="전체집계표-소유별" sheetId="96" state="hidden" r:id="rId2"/>
    <sheet name="전체집계표-구역별" sheetId="98" state="hidden" r:id="rId3"/>
    <sheet name="집계표(마산리)" sheetId="127" state="hidden" r:id="rId4"/>
    <sheet name="마산리집계표(당초)" sheetId="92" state="hidden" r:id="rId5"/>
    <sheet name="마산리집계표 (변경)" sheetId="126" state="hidden" r:id="rId6"/>
    <sheet name="집계표(감암리)" sheetId="130" state="hidden" r:id="rId7"/>
    <sheet name="공고용" sheetId="133" r:id="rId8"/>
    <sheet name="Sheet2" sheetId="115" state="hidden" r:id="rId9"/>
    <sheet name="고천리집계표 (2)" sheetId="112" state="hidden" r:id="rId10"/>
    <sheet name="고천리 (2)" sheetId="113" state="hidden" r:id="rId11"/>
    <sheet name="고천리참고조서" sheetId="114" state="hidden" r:id="rId12"/>
    <sheet name="내리2구간집계표" sheetId="103" state="hidden" r:id="rId13"/>
    <sheet name="내리2구간" sheetId="104" state="hidden" r:id="rId14"/>
    <sheet name="이뒤로출력안함" sheetId="109" state="hidden" r:id="rId15"/>
    <sheet name="신흥리집계표" sheetId="105" state="hidden" r:id="rId16"/>
    <sheet name="신흥리" sheetId="106" state="hidden" r:id="rId17"/>
    <sheet name="죽림리집계표" sheetId="101" state="hidden" r:id="rId18"/>
    <sheet name="죽림리" sheetId="102" state="hidden" r:id="rId19"/>
    <sheet name="용지조서(6)" sheetId="8" state="hidden" r:id="rId20"/>
    <sheet name="용지조서(7)" sheetId="9" state="hidden" r:id="rId21"/>
    <sheet name="용지조서(8)" sheetId="10" state="hidden" r:id="rId22"/>
    <sheet name="용지조서(9)" sheetId="11" state="hidden" r:id="rId23"/>
    <sheet name="용지조서(10)" sheetId="12" state="hidden" r:id="rId24"/>
    <sheet name="용지조서(11)" sheetId="13" state="hidden" r:id="rId25"/>
    <sheet name="용지조서(12)" sheetId="14" state="hidden" r:id="rId26"/>
    <sheet name="용지조서(13)" sheetId="15" state="hidden" r:id="rId27"/>
    <sheet name="용지조서(14)" sheetId="16" state="hidden" r:id="rId28"/>
    <sheet name="용지조서(15)" sheetId="17" state="hidden" r:id="rId29"/>
    <sheet name="용지조서(16)" sheetId="18" state="hidden" r:id="rId30"/>
    <sheet name="용지조서(17)" sheetId="19" state="hidden" r:id="rId31"/>
    <sheet name="용지조서(18)" sheetId="20" state="hidden" r:id="rId32"/>
    <sheet name="용지조서(19)" sheetId="21" state="hidden" r:id="rId33"/>
    <sheet name="용지조서(20)" sheetId="22" state="hidden" r:id="rId34"/>
  </sheets>
  <definedNames>
    <definedName name="_xlnm._FilterDatabase" localSheetId="10" hidden="1">'고천리 (2)'!$A$1:$P$277</definedName>
    <definedName name="_xlnm._FilterDatabase" localSheetId="11" hidden="1">고천리참고조서!$A$1:$P$277</definedName>
    <definedName name="_xlnm._FilterDatabase" localSheetId="7" hidden="1">공고용!$A$1:$N$313</definedName>
    <definedName name="_xlnm._FilterDatabase" localSheetId="13" hidden="1">내리2구간!$A$1:$P$385</definedName>
    <definedName name="_xlnm._FilterDatabase" localSheetId="16" hidden="1">신흥리!$A$1:$P$219</definedName>
    <definedName name="_xlnm._FilterDatabase" localSheetId="18" hidden="1">죽림리!$A$1:$P$198</definedName>
    <definedName name="_xlnm.Print_Area" localSheetId="10">'고천리 (2)'!$A$1:$M$102</definedName>
    <definedName name="_xlnm.Print_Area" localSheetId="9">'고천리집계표 (2)'!$A$1:$N$30</definedName>
    <definedName name="_xlnm.Print_Area" localSheetId="11">고천리참고조서!$A$1:$M$102</definedName>
    <definedName name="_xlnm.Print_Area" localSheetId="7">공고용!$A$1:$N$172</definedName>
    <definedName name="_xlnm.Print_Area" localSheetId="13">내리2구간!$A$1:$M$28</definedName>
    <definedName name="_xlnm.Print_Area" localSheetId="12">내리2구간집계표!$A$1:$N$30</definedName>
    <definedName name="_xlnm.Print_Area" localSheetId="5">'마산리집계표 (변경)'!$A$1:$N$30</definedName>
    <definedName name="_xlnm.Print_Area" localSheetId="4">'마산리집계표(당초)'!$A$1:$N$30</definedName>
    <definedName name="_xlnm.Print_Area" localSheetId="16">신흥리!$A$1:$M$44</definedName>
    <definedName name="_xlnm.Print_Area" localSheetId="15">신흥리집계표!$A$1:$N$30</definedName>
    <definedName name="_xlnm.Print_Area" localSheetId="2">'전체집계표-구역별'!$A$1:$P$124</definedName>
    <definedName name="_xlnm.Print_Area" localSheetId="1">'전체집계표-소유별'!$A$1:$N$30</definedName>
    <definedName name="_xlnm.Print_Area" localSheetId="18">죽림리!$A$1:$M$23</definedName>
    <definedName name="_xlnm.Print_Area" localSheetId="17">죽림리집계표!$A$1:$N$30</definedName>
    <definedName name="_xlnm.Print_Area" localSheetId="6">'집계표(감암리)'!$A$1:$O$24</definedName>
    <definedName name="_xlnm.Print_Area" localSheetId="3">'집계표(마산리)'!$A$1:$O$24</definedName>
    <definedName name="_xlnm.Print_Titles" localSheetId="10">'고천리 (2)'!$1:$2</definedName>
    <definedName name="_xlnm.Print_Titles" localSheetId="9">'고천리집계표 (2)'!$1:$1</definedName>
    <definedName name="_xlnm.Print_Titles" localSheetId="11">고천리참고조서!$1:$2</definedName>
    <definedName name="_xlnm.Print_Titles" localSheetId="7">공고용!$1:$2</definedName>
    <definedName name="_xlnm.Print_Titles" localSheetId="13">내리2구간!$1:$2</definedName>
    <definedName name="_xlnm.Print_Titles" localSheetId="12">내리2구간집계표!$1:$1</definedName>
    <definedName name="_xlnm.Print_Titles" localSheetId="5">'마산리집계표 (변경)'!$1:$1</definedName>
    <definedName name="_xlnm.Print_Titles" localSheetId="4">'마산리집계표(당초)'!$1:$1</definedName>
    <definedName name="_xlnm.Print_Titles" localSheetId="16">신흥리!$1:$2</definedName>
    <definedName name="_xlnm.Print_Titles" localSheetId="15">신흥리집계표!$1:$1</definedName>
    <definedName name="_xlnm.Print_Titles" localSheetId="23">'용지조서(10)'!$1:$7</definedName>
    <definedName name="_xlnm.Print_Titles" localSheetId="24">'용지조서(11)'!$1:$7</definedName>
    <definedName name="_xlnm.Print_Titles" localSheetId="25">'용지조서(12)'!$1:$7</definedName>
    <definedName name="_xlnm.Print_Titles" localSheetId="26">'용지조서(13)'!$1:$7</definedName>
    <definedName name="_xlnm.Print_Titles" localSheetId="27">'용지조서(14)'!$1:$7</definedName>
    <definedName name="_xlnm.Print_Titles" localSheetId="28">'용지조서(15)'!$1:$7</definedName>
    <definedName name="_xlnm.Print_Titles" localSheetId="29">'용지조서(16)'!$1:$7</definedName>
    <definedName name="_xlnm.Print_Titles" localSheetId="30">'용지조서(17)'!$1:$7</definedName>
    <definedName name="_xlnm.Print_Titles" localSheetId="31">'용지조서(18)'!$1:$7</definedName>
    <definedName name="_xlnm.Print_Titles" localSheetId="32">'용지조서(19)'!$1:$7</definedName>
    <definedName name="_xlnm.Print_Titles" localSheetId="33">'용지조서(20)'!$1:$7</definedName>
    <definedName name="_xlnm.Print_Titles" localSheetId="19">'용지조서(6)'!$1:$7</definedName>
    <definedName name="_xlnm.Print_Titles" localSheetId="20">'용지조서(7)'!$1:$7</definedName>
    <definedName name="_xlnm.Print_Titles" localSheetId="21">'용지조서(8)'!$1:$7</definedName>
    <definedName name="_xlnm.Print_Titles" localSheetId="22">'용지조서(9)'!$1:$7</definedName>
    <definedName name="_xlnm.Print_Titles" localSheetId="1">'전체집계표-소유별'!$1:$1</definedName>
    <definedName name="_xlnm.Print_Titles" localSheetId="18">죽림리!$1:$2</definedName>
    <definedName name="_xlnm.Print_Titles" localSheetId="17">죽림리집계표!$1:$1</definedName>
  </definedNames>
  <calcPr calcId="162913"/>
</workbook>
</file>

<file path=xl/calcChain.xml><?xml version="1.0" encoding="utf-8"?>
<calcChain xmlns="http://schemas.openxmlformats.org/spreadsheetml/2006/main">
  <c r="D10" i="92" l="1"/>
  <c r="D11" i="92"/>
  <c r="D12" i="92"/>
  <c r="D13" i="92"/>
  <c r="D14" i="92"/>
  <c r="D15" i="92"/>
  <c r="D16" i="92"/>
  <c r="D17" i="92"/>
  <c r="D18" i="92"/>
  <c r="D19" i="92"/>
  <c r="D20" i="92"/>
  <c r="D21" i="92"/>
  <c r="D22" i="92"/>
  <c r="D23" i="92"/>
  <c r="D24" i="92"/>
  <c r="D9" i="92"/>
  <c r="D10" i="126"/>
  <c r="E18" i="127" s="1"/>
  <c r="D11" i="126"/>
  <c r="D12" i="126"/>
  <c r="D13" i="126"/>
  <c r="D14" i="126"/>
  <c r="D15" i="126"/>
  <c r="D16" i="126"/>
  <c r="D17" i="126"/>
  <c r="D18" i="126"/>
  <c r="E24" i="127" s="1"/>
  <c r="D19" i="126"/>
  <c r="D20" i="126"/>
  <c r="D21" i="126"/>
  <c r="D22" i="126"/>
  <c r="D23" i="126"/>
  <c r="D24" i="126"/>
  <c r="D25" i="126"/>
  <c r="D9" i="126"/>
  <c r="E16" i="127" s="1"/>
  <c r="S30" i="126"/>
  <c r="R30" i="126"/>
  <c r="Q30" i="126"/>
  <c r="D30" i="126"/>
  <c r="B30" i="126"/>
  <c r="S29" i="126"/>
  <c r="R29" i="126"/>
  <c r="Q29" i="126"/>
  <c r="D29" i="126"/>
  <c r="B29" i="126"/>
  <c r="S28" i="126"/>
  <c r="R28" i="126"/>
  <c r="Q28" i="126"/>
  <c r="D28" i="126"/>
  <c r="B28" i="126"/>
  <c r="S27" i="126"/>
  <c r="R27" i="126"/>
  <c r="Q27" i="126"/>
  <c r="D27" i="126"/>
  <c r="B27" i="126"/>
  <c r="S26" i="126"/>
  <c r="R26" i="126"/>
  <c r="Q26" i="126"/>
  <c r="D26" i="126"/>
  <c r="B26" i="126"/>
  <c r="S25" i="126"/>
  <c r="R25" i="126"/>
  <c r="Q25" i="126"/>
  <c r="B25" i="126"/>
  <c r="S24" i="126"/>
  <c r="R24" i="126"/>
  <c r="Q24" i="126"/>
  <c r="B24" i="126"/>
  <c r="S23" i="126"/>
  <c r="R23" i="126"/>
  <c r="Q23" i="126"/>
  <c r="B23" i="126"/>
  <c r="S22" i="126"/>
  <c r="R22" i="126"/>
  <c r="Q22" i="126"/>
  <c r="B22" i="126"/>
  <c r="S21" i="126"/>
  <c r="R21" i="126"/>
  <c r="Q21" i="126"/>
  <c r="B21" i="126"/>
  <c r="S20" i="126"/>
  <c r="R20" i="126"/>
  <c r="Q20" i="126"/>
  <c r="B20" i="126"/>
  <c r="S19" i="126"/>
  <c r="R19" i="126"/>
  <c r="Q19" i="126"/>
  <c r="B19" i="126"/>
  <c r="S18" i="126"/>
  <c r="R18" i="126"/>
  <c r="Q18" i="126"/>
  <c r="B18" i="126"/>
  <c r="C24" i="127" s="1"/>
  <c r="S17" i="126"/>
  <c r="R17" i="126"/>
  <c r="Q17" i="126"/>
  <c r="B17" i="126"/>
  <c r="S16" i="126"/>
  <c r="R16" i="126"/>
  <c r="Q16" i="126"/>
  <c r="B16" i="126"/>
  <c r="S15" i="126"/>
  <c r="R15" i="126"/>
  <c r="Q15" i="126"/>
  <c r="B15" i="126"/>
  <c r="S14" i="126"/>
  <c r="R14" i="126"/>
  <c r="Q14" i="126"/>
  <c r="B14" i="126"/>
  <c r="S13" i="126"/>
  <c r="R13" i="126"/>
  <c r="Q13" i="126"/>
  <c r="B13" i="126"/>
  <c r="S12" i="126"/>
  <c r="R12" i="126"/>
  <c r="Q12" i="126"/>
  <c r="B12" i="126"/>
  <c r="S11" i="126"/>
  <c r="R11" i="126"/>
  <c r="Q11" i="126"/>
  <c r="B11" i="126"/>
  <c r="S10" i="126"/>
  <c r="R10" i="126"/>
  <c r="Q10" i="126"/>
  <c r="B10" i="126"/>
  <c r="C18" i="127" s="1"/>
  <c r="S9" i="126"/>
  <c r="R9" i="126"/>
  <c r="Q9" i="126"/>
  <c r="B9" i="126"/>
  <c r="C16" i="127" s="1"/>
  <c r="S8" i="126"/>
  <c r="R8" i="126"/>
  <c r="Q8" i="126"/>
  <c r="D8" i="126"/>
  <c r="B8" i="126"/>
  <c r="S7" i="126"/>
  <c r="R7" i="126"/>
  <c r="Q7" i="126"/>
  <c r="D7" i="126"/>
  <c r="B7" i="126"/>
  <c r="S6" i="126"/>
  <c r="R6" i="126"/>
  <c r="Q6" i="126"/>
  <c r="D6" i="126"/>
  <c r="B6" i="126"/>
  <c r="E23" i="130" l="1"/>
  <c r="E17" i="130"/>
  <c r="E9" i="130"/>
  <c r="E19" i="130"/>
  <c r="E11" i="130"/>
  <c r="E13" i="130"/>
  <c r="E21" i="130"/>
  <c r="E15" i="130"/>
  <c r="B5" i="126"/>
  <c r="C8" i="127" s="1"/>
  <c r="C14" i="130"/>
  <c r="C20" i="130"/>
  <c r="C24" i="130"/>
  <c r="C18" i="130"/>
  <c r="C12" i="130"/>
  <c r="C10" i="130"/>
  <c r="C16" i="130"/>
  <c r="C22" i="130"/>
  <c r="E15" i="127"/>
  <c r="E23" i="127"/>
  <c r="E17" i="127"/>
  <c r="E20" i="130"/>
  <c r="E12" i="130"/>
  <c r="E14" i="130"/>
  <c r="E24" i="130"/>
  <c r="E16" i="130"/>
  <c r="E22" i="130"/>
  <c r="E18" i="130"/>
  <c r="E10" i="130"/>
  <c r="D5" i="126"/>
  <c r="E8" i="127" s="1"/>
  <c r="D7" i="92"/>
  <c r="D8" i="92"/>
  <c r="D25" i="92"/>
  <c r="D26" i="92"/>
  <c r="D27" i="92"/>
  <c r="D28" i="92"/>
  <c r="D29" i="92"/>
  <c r="D30" i="92"/>
  <c r="D6" i="92"/>
  <c r="E8" i="130" l="1"/>
  <c r="C8" i="130"/>
  <c r="C4" i="118"/>
  <c r="J10" i="98"/>
  <c r="J9" i="98"/>
  <c r="J11" i="98"/>
  <c r="J8" i="98"/>
  <c r="B4" i="118"/>
  <c r="J24" i="98"/>
  <c r="J25" i="98"/>
  <c r="J26" i="98"/>
  <c r="J27" i="98"/>
  <c r="J28" i="98"/>
  <c r="J29" i="98"/>
  <c r="J30" i="98"/>
  <c r="J31" i="98"/>
  <c r="J12" i="98"/>
  <c r="J13" i="98"/>
  <c r="J14" i="98"/>
  <c r="J15" i="98"/>
  <c r="J16" i="98"/>
  <c r="J17" i="98"/>
  <c r="J18" i="98"/>
  <c r="J19" i="98"/>
  <c r="J20" i="98"/>
  <c r="J21" i="98"/>
  <c r="J22" i="98"/>
  <c r="J23" i="98"/>
  <c r="J7" i="98"/>
  <c r="H22" i="98"/>
  <c r="H23" i="98"/>
  <c r="H24" i="98"/>
  <c r="H25" i="98"/>
  <c r="H26" i="98"/>
  <c r="H27" i="98"/>
  <c r="H28" i="98"/>
  <c r="H29" i="98"/>
  <c r="H31" i="98"/>
  <c r="H13" i="98"/>
  <c r="H15" i="98"/>
  <c r="H16" i="98"/>
  <c r="H17" i="98"/>
  <c r="H20" i="98"/>
  <c r="H21" i="98"/>
  <c r="H18" i="98" l="1"/>
  <c r="H30" i="98"/>
  <c r="J46" i="98"/>
  <c r="H23" i="130"/>
  <c r="H13" i="130"/>
  <c r="J44" i="98"/>
  <c r="J48" i="98"/>
  <c r="H14" i="98"/>
  <c r="C21" i="130"/>
  <c r="H10" i="98"/>
  <c r="C15" i="130"/>
  <c r="H7" i="98"/>
  <c r="C9" i="130"/>
  <c r="H19" i="98"/>
  <c r="C23" i="130"/>
  <c r="H11" i="98"/>
  <c r="C17" i="130"/>
  <c r="H12" i="98"/>
  <c r="C19" i="130"/>
  <c r="H8" i="98"/>
  <c r="C11" i="130"/>
  <c r="H9" i="98"/>
  <c r="C13" i="130"/>
  <c r="D4" i="118"/>
  <c r="D6" i="118" s="1"/>
  <c r="J58" i="98"/>
  <c r="J56" i="98"/>
  <c r="H9" i="130"/>
  <c r="J61" i="98"/>
  <c r="J55" i="98"/>
  <c r="J54" i="98"/>
  <c r="J52" i="98"/>
  <c r="J53" i="98"/>
  <c r="J51" i="98"/>
  <c r="J57" i="98"/>
  <c r="J62" i="98"/>
  <c r="J60" i="98"/>
  <c r="J59" i="98"/>
  <c r="H51" i="98"/>
  <c r="H59" i="98"/>
  <c r="H55" i="98"/>
  <c r="H90" i="98"/>
  <c r="H86" i="98"/>
  <c r="H82" i="98"/>
  <c r="H121" i="98"/>
  <c r="H117" i="98"/>
  <c r="H113" i="98"/>
  <c r="H109" i="98"/>
  <c r="L19" i="130"/>
  <c r="H52" i="98"/>
  <c r="H48" i="98"/>
  <c r="H44" i="98"/>
  <c r="H60" i="98"/>
  <c r="H56" i="98"/>
  <c r="H91" i="98"/>
  <c r="H87" i="98"/>
  <c r="H83" i="98"/>
  <c r="H79" i="98"/>
  <c r="H75" i="98"/>
  <c r="H122" i="98"/>
  <c r="H118" i="98"/>
  <c r="H114" i="98"/>
  <c r="H110" i="98"/>
  <c r="H106" i="98"/>
  <c r="H53" i="98"/>
  <c r="H61" i="98"/>
  <c r="H57" i="98"/>
  <c r="H92" i="98"/>
  <c r="H88" i="98"/>
  <c r="H84" i="98"/>
  <c r="H119" i="98"/>
  <c r="H115" i="98"/>
  <c r="H54" i="98"/>
  <c r="H46" i="98"/>
  <c r="H62" i="98"/>
  <c r="H58" i="98"/>
  <c r="H93" i="98"/>
  <c r="H89" i="98"/>
  <c r="H85" i="98"/>
  <c r="H77" i="98"/>
  <c r="H124" i="98"/>
  <c r="H120" i="98"/>
  <c r="H116" i="98"/>
  <c r="H108" i="98"/>
  <c r="O72" i="114"/>
  <c r="P72" i="114" s="1"/>
  <c r="S72" i="114"/>
  <c r="U72" i="114" s="1"/>
  <c r="W72" i="114" s="1"/>
  <c r="T72" i="114"/>
  <c r="O73" i="114"/>
  <c r="P73" i="114" s="1"/>
  <c r="S73" i="114"/>
  <c r="U73" i="114" s="1"/>
  <c r="W73" i="114" s="1"/>
  <c r="T73" i="114"/>
  <c r="O74" i="114"/>
  <c r="P74" i="114" s="1"/>
  <c r="S74" i="114"/>
  <c r="U74" i="114" s="1"/>
  <c r="T74" i="114"/>
  <c r="O75" i="114"/>
  <c r="P75" i="114" s="1"/>
  <c r="S75" i="114"/>
  <c r="U75" i="114" s="1"/>
  <c r="T75" i="114"/>
  <c r="O76" i="114"/>
  <c r="P76" i="114" s="1"/>
  <c r="S76" i="114"/>
  <c r="U76" i="114" s="1"/>
  <c r="W76" i="114" s="1"/>
  <c r="T76" i="114"/>
  <c r="P277" i="114"/>
  <c r="P276" i="114"/>
  <c r="P275" i="114"/>
  <c r="P274" i="114"/>
  <c r="P273" i="114"/>
  <c r="P272" i="114"/>
  <c r="P271" i="114"/>
  <c r="P270" i="114"/>
  <c r="P269" i="114"/>
  <c r="P268" i="114"/>
  <c r="P267" i="114"/>
  <c r="P266" i="114"/>
  <c r="P265" i="114"/>
  <c r="P264" i="114"/>
  <c r="P263" i="114"/>
  <c r="P262" i="114"/>
  <c r="P261" i="114"/>
  <c r="P260" i="114"/>
  <c r="P259" i="114"/>
  <c r="P258" i="114"/>
  <c r="P257" i="114"/>
  <c r="P256" i="114"/>
  <c r="P255" i="114"/>
  <c r="P254" i="114"/>
  <c r="P253" i="114"/>
  <c r="P252" i="114"/>
  <c r="P251" i="114"/>
  <c r="P250" i="114"/>
  <c r="P249" i="114"/>
  <c r="P248" i="114"/>
  <c r="P247" i="114"/>
  <c r="P246" i="114"/>
  <c r="P245" i="114"/>
  <c r="P244" i="114"/>
  <c r="P243" i="114"/>
  <c r="P242" i="114"/>
  <c r="P241" i="114"/>
  <c r="P240" i="114"/>
  <c r="P239" i="114"/>
  <c r="P238" i="114"/>
  <c r="P237" i="114"/>
  <c r="P236" i="114"/>
  <c r="P235" i="114"/>
  <c r="P234" i="114"/>
  <c r="P233" i="114"/>
  <c r="P232" i="114"/>
  <c r="P231" i="114"/>
  <c r="P230" i="114"/>
  <c r="P229" i="114"/>
  <c r="P228" i="114"/>
  <c r="P227" i="114"/>
  <c r="P226" i="114"/>
  <c r="P225" i="114"/>
  <c r="P224" i="114"/>
  <c r="P223" i="114"/>
  <c r="P222" i="114"/>
  <c r="P221" i="114"/>
  <c r="P220" i="114"/>
  <c r="P219" i="114"/>
  <c r="P218" i="114"/>
  <c r="P217" i="114"/>
  <c r="P216" i="114"/>
  <c r="P215" i="114"/>
  <c r="P214" i="114"/>
  <c r="P213" i="114"/>
  <c r="P212" i="114"/>
  <c r="P211" i="114"/>
  <c r="P210" i="114"/>
  <c r="P209" i="114"/>
  <c r="P208" i="114"/>
  <c r="P207" i="114"/>
  <c r="P206" i="114"/>
  <c r="P205" i="114"/>
  <c r="P204" i="114"/>
  <c r="P203" i="114"/>
  <c r="P202" i="114"/>
  <c r="P201" i="114"/>
  <c r="P200" i="114"/>
  <c r="P199" i="114"/>
  <c r="P198" i="114"/>
  <c r="P197" i="114"/>
  <c r="P196" i="114"/>
  <c r="P195" i="114"/>
  <c r="P194" i="114"/>
  <c r="P193" i="114"/>
  <c r="P192" i="114"/>
  <c r="P191" i="114"/>
  <c r="P190" i="114"/>
  <c r="P189" i="114"/>
  <c r="P188" i="114"/>
  <c r="P187" i="114"/>
  <c r="P186" i="114"/>
  <c r="P185" i="114"/>
  <c r="P184" i="114"/>
  <c r="P183" i="114"/>
  <c r="P182" i="114"/>
  <c r="P181" i="114"/>
  <c r="P180" i="114"/>
  <c r="P179" i="114"/>
  <c r="P178" i="114"/>
  <c r="P177" i="114"/>
  <c r="P176" i="114"/>
  <c r="P175" i="114"/>
  <c r="P174" i="114"/>
  <c r="P173" i="114"/>
  <c r="P172" i="114"/>
  <c r="P171" i="114"/>
  <c r="P170" i="114"/>
  <c r="P169" i="114"/>
  <c r="P168" i="114"/>
  <c r="P167" i="114"/>
  <c r="P166" i="114"/>
  <c r="P165" i="114"/>
  <c r="P164" i="114"/>
  <c r="P163" i="114"/>
  <c r="P162" i="114"/>
  <c r="P161" i="114"/>
  <c r="P160" i="114"/>
  <c r="P159" i="114"/>
  <c r="P158" i="114"/>
  <c r="P157" i="114"/>
  <c r="P156" i="114"/>
  <c r="P155" i="114"/>
  <c r="P154" i="114"/>
  <c r="P153" i="114"/>
  <c r="P152" i="114"/>
  <c r="P151" i="114"/>
  <c r="P150" i="114"/>
  <c r="P149" i="114"/>
  <c r="P148" i="114"/>
  <c r="P147" i="114"/>
  <c r="P146" i="114"/>
  <c r="P145" i="114"/>
  <c r="P144" i="114"/>
  <c r="P143" i="114"/>
  <c r="P142" i="114"/>
  <c r="P141" i="114"/>
  <c r="P140" i="114"/>
  <c r="P139" i="114"/>
  <c r="P138" i="114"/>
  <c r="P137" i="114"/>
  <c r="P136" i="114"/>
  <c r="P135" i="114"/>
  <c r="P134" i="114"/>
  <c r="P133" i="114"/>
  <c r="P132" i="114"/>
  <c r="P131" i="114"/>
  <c r="P130" i="114"/>
  <c r="P129" i="114"/>
  <c r="P128" i="114"/>
  <c r="P127" i="114"/>
  <c r="P126" i="114"/>
  <c r="P125" i="114"/>
  <c r="P124" i="114"/>
  <c r="P123" i="114"/>
  <c r="P122" i="114"/>
  <c r="P121" i="114"/>
  <c r="P120" i="114"/>
  <c r="P119" i="114"/>
  <c r="P118" i="114"/>
  <c r="P117" i="114"/>
  <c r="P116" i="114"/>
  <c r="P115" i="114"/>
  <c r="P114" i="114"/>
  <c r="P113" i="114"/>
  <c r="P112" i="114"/>
  <c r="P111" i="114"/>
  <c r="P110" i="114"/>
  <c r="P109" i="114"/>
  <c r="P108" i="114"/>
  <c r="P107" i="114"/>
  <c r="P106" i="114"/>
  <c r="P105" i="114"/>
  <c r="P104" i="114"/>
  <c r="T103" i="114"/>
  <c r="S103" i="114"/>
  <c r="P103" i="114"/>
  <c r="P102" i="114"/>
  <c r="E102" i="114"/>
  <c r="D102" i="114"/>
  <c r="T65" i="114"/>
  <c r="S65" i="114"/>
  <c r="U65" i="114" s="1"/>
  <c r="O65" i="114"/>
  <c r="P65" i="114" s="1"/>
  <c r="T64" i="114"/>
  <c r="S64" i="114"/>
  <c r="U64" i="114" s="1"/>
  <c r="O64" i="114"/>
  <c r="P64" i="114" s="1"/>
  <c r="T63" i="114"/>
  <c r="S63" i="114"/>
  <c r="U63" i="114" s="1"/>
  <c r="V63" i="114" s="1"/>
  <c r="O63" i="114"/>
  <c r="P63" i="114" s="1"/>
  <c r="T62" i="114"/>
  <c r="S62" i="114"/>
  <c r="U62" i="114" s="1"/>
  <c r="V62" i="114" s="1"/>
  <c r="O62" i="114"/>
  <c r="P62" i="114" s="1"/>
  <c r="T61" i="114"/>
  <c r="S61" i="114"/>
  <c r="U61" i="114" s="1"/>
  <c r="O61" i="114"/>
  <c r="P61" i="114" s="1"/>
  <c r="T60" i="114"/>
  <c r="S60" i="114"/>
  <c r="U60" i="114" s="1"/>
  <c r="O60" i="114"/>
  <c r="P60" i="114" s="1"/>
  <c r="T59" i="114"/>
  <c r="S59" i="114"/>
  <c r="U59" i="114" s="1"/>
  <c r="V59" i="114" s="1"/>
  <c r="O59" i="114"/>
  <c r="P59" i="114" s="1"/>
  <c r="T58" i="114"/>
  <c r="S58" i="114"/>
  <c r="U58" i="114" s="1"/>
  <c r="V58" i="114" s="1"/>
  <c r="O58" i="114"/>
  <c r="P58" i="114" s="1"/>
  <c r="T57" i="114"/>
  <c r="S57" i="114"/>
  <c r="U57" i="114" s="1"/>
  <c r="O57" i="114"/>
  <c r="P57" i="114" s="1"/>
  <c r="T55" i="114"/>
  <c r="S55" i="114"/>
  <c r="U55" i="114" s="1"/>
  <c r="O55" i="114"/>
  <c r="P55" i="114" s="1"/>
  <c r="T54" i="114"/>
  <c r="S54" i="114"/>
  <c r="U54" i="114" s="1"/>
  <c r="V54" i="114" s="1"/>
  <c r="O54" i="114"/>
  <c r="P54" i="114" s="1"/>
  <c r="T50" i="114"/>
  <c r="S50" i="114"/>
  <c r="U50" i="114" s="1"/>
  <c r="V50" i="114" s="1"/>
  <c r="O50" i="114"/>
  <c r="P50" i="114" s="1"/>
  <c r="T49" i="114"/>
  <c r="S49" i="114"/>
  <c r="U49" i="114" s="1"/>
  <c r="O49" i="114"/>
  <c r="P49" i="114" s="1"/>
  <c r="T48" i="114"/>
  <c r="S48" i="114"/>
  <c r="U48" i="114" s="1"/>
  <c r="O48" i="114"/>
  <c r="P48" i="114" s="1"/>
  <c r="T47" i="114"/>
  <c r="S47" i="114"/>
  <c r="U47" i="114" s="1"/>
  <c r="O47" i="114"/>
  <c r="P47" i="114" s="1"/>
  <c r="T46" i="114"/>
  <c r="S46" i="114"/>
  <c r="U46" i="114" s="1"/>
  <c r="V46" i="114" s="1"/>
  <c r="O46" i="114"/>
  <c r="P46" i="114" s="1"/>
  <c r="T45" i="114"/>
  <c r="S45" i="114"/>
  <c r="U45" i="114" s="1"/>
  <c r="O45" i="114"/>
  <c r="P45" i="114" s="1"/>
  <c r="T44" i="114"/>
  <c r="S44" i="114"/>
  <c r="U44" i="114" s="1"/>
  <c r="O44" i="114"/>
  <c r="P44" i="114" s="1"/>
  <c r="T43" i="114"/>
  <c r="S43" i="114"/>
  <c r="U43" i="114" s="1"/>
  <c r="O43" i="114"/>
  <c r="P43" i="114" s="1"/>
  <c r="T42" i="114"/>
  <c r="S42" i="114"/>
  <c r="U42" i="114" s="1"/>
  <c r="V42" i="114" s="1"/>
  <c r="O42" i="114"/>
  <c r="P42" i="114" s="1"/>
  <c r="T41" i="114"/>
  <c r="S41" i="114"/>
  <c r="U41" i="114" s="1"/>
  <c r="O41" i="114"/>
  <c r="P41" i="114" s="1"/>
  <c r="T39" i="114"/>
  <c r="S39" i="114"/>
  <c r="U39" i="114" s="1"/>
  <c r="O39" i="114"/>
  <c r="P39" i="114" s="1"/>
  <c r="T38" i="114"/>
  <c r="S38" i="114"/>
  <c r="U38" i="114" s="1"/>
  <c r="V38" i="114" s="1"/>
  <c r="O38" i="114"/>
  <c r="P38" i="114" s="1"/>
  <c r="T37" i="114"/>
  <c r="S37" i="114"/>
  <c r="U37" i="114" s="1"/>
  <c r="O37" i="114"/>
  <c r="P37" i="114" s="1"/>
  <c r="T36" i="114"/>
  <c r="S36" i="114"/>
  <c r="U36" i="114" s="1"/>
  <c r="O36" i="114"/>
  <c r="P36" i="114" s="1"/>
  <c r="T35" i="114"/>
  <c r="S35" i="114"/>
  <c r="U35" i="114" s="1"/>
  <c r="O35" i="114"/>
  <c r="P35" i="114" s="1"/>
  <c r="T34" i="114"/>
  <c r="S34" i="114"/>
  <c r="U34" i="114" s="1"/>
  <c r="V34" i="114" s="1"/>
  <c r="O34" i="114"/>
  <c r="P34" i="114" s="1"/>
  <c r="T33" i="114"/>
  <c r="S33" i="114"/>
  <c r="U33" i="114" s="1"/>
  <c r="O33" i="114"/>
  <c r="P33" i="114" s="1"/>
  <c r="T32" i="114"/>
  <c r="S32" i="114"/>
  <c r="U32" i="114" s="1"/>
  <c r="O32" i="114"/>
  <c r="P32" i="114" s="1"/>
  <c r="T31" i="114"/>
  <c r="S31" i="114"/>
  <c r="U31" i="114" s="1"/>
  <c r="O31" i="114"/>
  <c r="P31" i="114" s="1"/>
  <c r="T30" i="114"/>
  <c r="S30" i="114"/>
  <c r="U30" i="114" s="1"/>
  <c r="V30" i="114" s="1"/>
  <c r="O30" i="114"/>
  <c r="P30" i="114" s="1"/>
  <c r="T29" i="114"/>
  <c r="S29" i="114"/>
  <c r="U29" i="114" s="1"/>
  <c r="O29" i="114"/>
  <c r="P29" i="114" s="1"/>
  <c r="T28" i="114"/>
  <c r="S28" i="114"/>
  <c r="U28" i="114" s="1"/>
  <c r="O28" i="114"/>
  <c r="P28" i="114" s="1"/>
  <c r="T27" i="114"/>
  <c r="S27" i="114"/>
  <c r="U27" i="114" s="1"/>
  <c r="O27" i="114"/>
  <c r="P27" i="114" s="1"/>
  <c r="T26" i="114"/>
  <c r="S26" i="114"/>
  <c r="U26" i="114" s="1"/>
  <c r="V26" i="114" s="1"/>
  <c r="O26" i="114"/>
  <c r="P26" i="114" s="1"/>
  <c r="T25" i="114"/>
  <c r="S25" i="114"/>
  <c r="U25" i="114" s="1"/>
  <c r="O25" i="114"/>
  <c r="P25" i="114" s="1"/>
  <c r="T24" i="114"/>
  <c r="S24" i="114"/>
  <c r="U24" i="114" s="1"/>
  <c r="O24" i="114"/>
  <c r="P24" i="114" s="1"/>
  <c r="T23" i="114"/>
  <c r="S23" i="114"/>
  <c r="U23" i="114" s="1"/>
  <c r="O23" i="114"/>
  <c r="P23" i="114" s="1"/>
  <c r="T22" i="114"/>
  <c r="S22" i="114"/>
  <c r="U22" i="114" s="1"/>
  <c r="V22" i="114" s="1"/>
  <c r="O22" i="114"/>
  <c r="P22" i="114" s="1"/>
  <c r="T21" i="114"/>
  <c r="S21" i="114"/>
  <c r="U21" i="114" s="1"/>
  <c r="O21" i="114"/>
  <c r="P21" i="114" s="1"/>
  <c r="T20" i="114"/>
  <c r="S20" i="114"/>
  <c r="U20" i="114" s="1"/>
  <c r="O20" i="114"/>
  <c r="P20" i="114" s="1"/>
  <c r="T19" i="114"/>
  <c r="S19" i="114"/>
  <c r="U19" i="114" s="1"/>
  <c r="O19" i="114"/>
  <c r="P19" i="114" s="1"/>
  <c r="T18" i="114"/>
  <c r="S18" i="114"/>
  <c r="U18" i="114" s="1"/>
  <c r="V18" i="114" s="1"/>
  <c r="O18" i="114"/>
  <c r="P18" i="114" s="1"/>
  <c r="T17" i="114"/>
  <c r="S17" i="114"/>
  <c r="U17" i="114" s="1"/>
  <c r="O17" i="114"/>
  <c r="P17" i="114" s="1"/>
  <c r="T16" i="114"/>
  <c r="S16" i="114"/>
  <c r="U16" i="114" s="1"/>
  <c r="O16" i="114"/>
  <c r="P16" i="114" s="1"/>
  <c r="T15" i="114"/>
  <c r="S15" i="114"/>
  <c r="U15" i="114" s="1"/>
  <c r="O15" i="114"/>
  <c r="P15" i="114" s="1"/>
  <c r="T14" i="114"/>
  <c r="S14" i="114"/>
  <c r="U14" i="114" s="1"/>
  <c r="V14" i="114" s="1"/>
  <c r="O14" i="114"/>
  <c r="P14" i="114" s="1"/>
  <c r="T13" i="114"/>
  <c r="S13" i="114"/>
  <c r="U13" i="114" s="1"/>
  <c r="O13" i="114"/>
  <c r="P13" i="114" s="1"/>
  <c r="T12" i="114"/>
  <c r="S12" i="114"/>
  <c r="U12" i="114" s="1"/>
  <c r="O12" i="114"/>
  <c r="P12" i="114" s="1"/>
  <c r="T11" i="114"/>
  <c r="S11" i="114"/>
  <c r="U11" i="114" s="1"/>
  <c r="O11" i="114"/>
  <c r="P11" i="114" s="1"/>
  <c r="T10" i="114"/>
  <c r="S10" i="114"/>
  <c r="U10" i="114" s="1"/>
  <c r="V10" i="114" s="1"/>
  <c r="O10" i="114"/>
  <c r="P10" i="114" s="1"/>
  <c r="T9" i="114"/>
  <c r="S9" i="114"/>
  <c r="U9" i="114" s="1"/>
  <c r="O9" i="114"/>
  <c r="P9" i="114" s="1"/>
  <c r="T8" i="114"/>
  <c r="S8" i="114"/>
  <c r="U8" i="114" s="1"/>
  <c r="O8" i="114"/>
  <c r="P8" i="114" s="1"/>
  <c r="T7" i="114"/>
  <c r="S7" i="114"/>
  <c r="U7" i="114" s="1"/>
  <c r="O7" i="114"/>
  <c r="P7" i="114" s="1"/>
  <c r="T6" i="114"/>
  <c r="S6" i="114"/>
  <c r="U6" i="114" s="1"/>
  <c r="V6" i="114" s="1"/>
  <c r="O6" i="114"/>
  <c r="P6" i="114" s="1"/>
  <c r="T5" i="114"/>
  <c r="S5" i="114"/>
  <c r="U5" i="114" s="1"/>
  <c r="O5" i="114"/>
  <c r="P5" i="114" s="1"/>
  <c r="T4" i="114"/>
  <c r="S4" i="114"/>
  <c r="U4" i="114" s="1"/>
  <c r="O4" i="114"/>
  <c r="P4" i="114" s="1"/>
  <c r="A4" i="114"/>
  <c r="A5" i="114" s="1"/>
  <c r="A6" i="114" s="1"/>
  <c r="A7" i="114" s="1"/>
  <c r="A8" i="114" s="1"/>
  <c r="A9" i="114" s="1"/>
  <c r="A10" i="114" s="1"/>
  <c r="A11" i="114" s="1"/>
  <c r="A12" i="114" s="1"/>
  <c r="A13" i="114" s="1"/>
  <c r="A14" i="114" s="1"/>
  <c r="A15" i="114" s="1"/>
  <c r="A16" i="114" s="1"/>
  <c r="A17" i="114" s="1"/>
  <c r="A18" i="114" s="1"/>
  <c r="A19" i="114" s="1"/>
  <c r="A20" i="114" s="1"/>
  <c r="A21" i="114" s="1"/>
  <c r="A22" i="114" s="1"/>
  <c r="A23" i="114" s="1"/>
  <c r="A24" i="114" s="1"/>
  <c r="A25" i="114" s="1"/>
  <c r="A26" i="114" s="1"/>
  <c r="A27" i="114" s="1"/>
  <c r="A28" i="114" s="1"/>
  <c r="A29" i="114" s="1"/>
  <c r="A30" i="114" s="1"/>
  <c r="A31" i="114" s="1"/>
  <c r="A32" i="114" s="1"/>
  <c r="A33" i="114" s="1"/>
  <c r="A34" i="114" s="1"/>
  <c r="A35" i="114" s="1"/>
  <c r="A36" i="114" s="1"/>
  <c r="A37" i="114" s="1"/>
  <c r="A38" i="114" s="1"/>
  <c r="A39" i="114" s="1"/>
  <c r="A40" i="114" s="1"/>
  <c r="A41" i="114" s="1"/>
  <c r="A42" i="114" s="1"/>
  <c r="A43" i="114" s="1"/>
  <c r="A44" i="114" s="1"/>
  <c r="A45" i="114" s="1"/>
  <c r="A46" i="114" s="1"/>
  <c r="A47" i="114" s="1"/>
  <c r="A48" i="114" s="1"/>
  <c r="A49" i="114" s="1"/>
  <c r="A50" i="114" s="1"/>
  <c r="A51" i="114" s="1"/>
  <c r="A52" i="114" s="1"/>
  <c r="A53" i="114" s="1"/>
  <c r="A54" i="114" s="1"/>
  <c r="A55" i="114" s="1"/>
  <c r="A56" i="114" s="1"/>
  <c r="A57" i="114" s="1"/>
  <c r="A58" i="114" s="1"/>
  <c r="A59" i="114" s="1"/>
  <c r="A60" i="114" s="1"/>
  <c r="A61" i="114" s="1"/>
  <c r="A62" i="114" s="1"/>
  <c r="A63" i="114" s="1"/>
  <c r="A64" i="114" s="1"/>
  <c r="A65" i="114" s="1"/>
  <c r="A66" i="114" s="1"/>
  <c r="A67" i="114" s="1"/>
  <c r="A68" i="114" s="1"/>
  <c r="A69" i="114" s="1"/>
  <c r="T3" i="114"/>
  <c r="S3" i="114"/>
  <c r="U3" i="114" s="1"/>
  <c r="X3" i="114" s="1"/>
  <c r="O3" i="114"/>
  <c r="P3" i="114" s="1"/>
  <c r="J49" i="98" l="1"/>
  <c r="J43" i="98"/>
  <c r="J41" i="98"/>
  <c r="J50" i="98"/>
  <c r="H49" i="98"/>
  <c r="H111" i="98"/>
  <c r="H123" i="98"/>
  <c r="H80" i="98"/>
  <c r="J45" i="98"/>
  <c r="H78" i="98"/>
  <c r="H47" i="98"/>
  <c r="J47" i="98"/>
  <c r="L24" i="130"/>
  <c r="J42" i="98"/>
  <c r="H105" i="98"/>
  <c r="J38" i="98"/>
  <c r="J40" i="98"/>
  <c r="H11" i="130"/>
  <c r="I12" i="130"/>
  <c r="F14" i="130"/>
  <c r="K18" i="130"/>
  <c r="N21" i="130"/>
  <c r="K13" i="130"/>
  <c r="N13" i="130"/>
  <c r="F22" i="130"/>
  <c r="L14" i="130"/>
  <c r="F20" i="130"/>
  <c r="I24" i="130"/>
  <c r="N16" i="130"/>
  <c r="L22" i="130"/>
  <c r="K10" i="130"/>
  <c r="H20" i="130"/>
  <c r="I22" i="130"/>
  <c r="N11" i="130"/>
  <c r="J39" i="98"/>
  <c r="N9" i="130"/>
  <c r="N10" i="130"/>
  <c r="F10" i="130"/>
  <c r="L16" i="130"/>
  <c r="K9" i="130"/>
  <c r="N15" i="130"/>
  <c r="F24" i="130"/>
  <c r="F18" i="130"/>
  <c r="L20" i="130"/>
  <c r="L10" i="130"/>
  <c r="H15" i="130"/>
  <c r="K14" i="130"/>
  <c r="N18" i="130"/>
  <c r="I14" i="130"/>
  <c r="K23" i="130"/>
  <c r="N17" i="130"/>
  <c r="H19" i="130"/>
  <c r="N12" i="130"/>
  <c r="F16" i="130"/>
  <c r="N22" i="130"/>
  <c r="N14" i="130"/>
  <c r="H16" i="130"/>
  <c r="I18" i="130"/>
  <c r="H18" i="130"/>
  <c r="L18" i="130"/>
  <c r="H12" i="130"/>
  <c r="F12" i="130"/>
  <c r="L12" i="130"/>
  <c r="K24" i="130"/>
  <c r="I10" i="130"/>
  <c r="I16" i="130"/>
  <c r="I20" i="130"/>
  <c r="K17" i="130"/>
  <c r="H17" i="130"/>
  <c r="H81" i="98"/>
  <c r="I23" i="130"/>
  <c r="H50" i="98"/>
  <c r="F23" i="130"/>
  <c r="H112" i="98"/>
  <c r="L23" i="130"/>
  <c r="H73" i="98"/>
  <c r="I17" i="130"/>
  <c r="H42" i="98"/>
  <c r="F17" i="130"/>
  <c r="H103" i="98"/>
  <c r="L15" i="130"/>
  <c r="H71" i="98"/>
  <c r="I13" i="130"/>
  <c r="H40" i="98"/>
  <c r="F13" i="130"/>
  <c r="H101" i="98"/>
  <c r="L11" i="130"/>
  <c r="H104" i="98"/>
  <c r="L17" i="130"/>
  <c r="H69" i="98"/>
  <c r="I9" i="130"/>
  <c r="H100" i="98"/>
  <c r="L9" i="130"/>
  <c r="H76" i="98"/>
  <c r="I21" i="130"/>
  <c r="H45" i="98"/>
  <c r="F21" i="130"/>
  <c r="H74" i="98"/>
  <c r="I19" i="130"/>
  <c r="H43" i="98"/>
  <c r="F19" i="130"/>
  <c r="H38" i="98"/>
  <c r="F9" i="130"/>
  <c r="H72" i="98"/>
  <c r="I15" i="130"/>
  <c r="H41" i="98"/>
  <c r="F15" i="130"/>
  <c r="H102" i="98"/>
  <c r="L13" i="130"/>
  <c r="H70" i="98"/>
  <c r="I11" i="130"/>
  <c r="H39" i="98"/>
  <c r="F11" i="130"/>
  <c r="C7" i="130"/>
  <c r="H107" i="98"/>
  <c r="L21" i="130"/>
  <c r="D5" i="118"/>
  <c r="V73" i="114"/>
  <c r="W75" i="114"/>
  <c r="X75" i="114"/>
  <c r="V75" i="114"/>
  <c r="W74" i="114"/>
  <c r="X74" i="114"/>
  <c r="V74" i="114"/>
  <c r="X76" i="114"/>
  <c r="X72" i="114"/>
  <c r="V76" i="114"/>
  <c r="X73" i="114"/>
  <c r="V72" i="114"/>
  <c r="V39" i="114"/>
  <c r="X39" i="114"/>
  <c r="V55" i="114"/>
  <c r="X55" i="114"/>
  <c r="V19" i="114"/>
  <c r="X19" i="114"/>
  <c r="V35" i="114"/>
  <c r="X35" i="114"/>
  <c r="V15" i="114"/>
  <c r="X15" i="114"/>
  <c r="V31" i="114"/>
  <c r="X31" i="114"/>
  <c r="V7" i="114"/>
  <c r="X7" i="114"/>
  <c r="V23" i="114"/>
  <c r="X23" i="114"/>
  <c r="V11" i="114"/>
  <c r="X11" i="114"/>
  <c r="V27" i="114"/>
  <c r="X27" i="114"/>
  <c r="V43" i="114"/>
  <c r="X43" i="114"/>
  <c r="V47" i="114"/>
  <c r="X47" i="114"/>
  <c r="S102" i="114"/>
  <c r="X63" i="114"/>
  <c r="U103" i="114"/>
  <c r="X103" i="114" s="1"/>
  <c r="X59" i="114"/>
  <c r="X8" i="114"/>
  <c r="W8" i="114"/>
  <c r="V8" i="114"/>
  <c r="X20" i="114"/>
  <c r="V20" i="114"/>
  <c r="W20" i="114"/>
  <c r="X24" i="114"/>
  <c r="V24" i="114"/>
  <c r="W24" i="114"/>
  <c r="W28" i="114"/>
  <c r="X28" i="114"/>
  <c r="V28" i="114"/>
  <c r="W32" i="114"/>
  <c r="X32" i="114"/>
  <c r="V32" i="114"/>
  <c r="W36" i="114"/>
  <c r="X36" i="114"/>
  <c r="V36" i="114"/>
  <c r="W60" i="114"/>
  <c r="X60" i="114"/>
  <c r="V60" i="114"/>
  <c r="V41" i="114"/>
  <c r="W41" i="114"/>
  <c r="X41" i="114"/>
  <c r="W44" i="114"/>
  <c r="X44" i="114"/>
  <c r="V44" i="114"/>
  <c r="V45" i="114"/>
  <c r="W45" i="114"/>
  <c r="X45" i="114"/>
  <c r="W48" i="114"/>
  <c r="X48" i="114"/>
  <c r="V48" i="114"/>
  <c r="V49" i="114"/>
  <c r="W49" i="114"/>
  <c r="X49" i="114"/>
  <c r="V13" i="114"/>
  <c r="W13" i="114"/>
  <c r="X13" i="114"/>
  <c r="W21" i="114"/>
  <c r="X21" i="114"/>
  <c r="V21" i="114"/>
  <c r="W64" i="114"/>
  <c r="X64" i="114"/>
  <c r="V64" i="114"/>
  <c r="V65" i="114"/>
  <c r="W65" i="114"/>
  <c r="X65" i="114"/>
  <c r="X4" i="114"/>
  <c r="W4" i="114"/>
  <c r="V4" i="114"/>
  <c r="V9" i="114"/>
  <c r="W9" i="114"/>
  <c r="X9" i="114"/>
  <c r="W17" i="114"/>
  <c r="X17" i="114"/>
  <c r="V17" i="114"/>
  <c r="W5" i="114"/>
  <c r="X5" i="114"/>
  <c r="V5" i="114"/>
  <c r="X12" i="114"/>
  <c r="W12" i="114"/>
  <c r="V12" i="114"/>
  <c r="W16" i="114"/>
  <c r="X16" i="114"/>
  <c r="V16" i="114"/>
  <c r="W25" i="114"/>
  <c r="X25" i="114"/>
  <c r="V25" i="114"/>
  <c r="V29" i="114"/>
  <c r="W29" i="114"/>
  <c r="X29" i="114"/>
  <c r="V33" i="114"/>
  <c r="W33" i="114"/>
  <c r="X33" i="114"/>
  <c r="V37" i="114"/>
  <c r="W37" i="114"/>
  <c r="X37" i="114"/>
  <c r="V61" i="114"/>
  <c r="W61" i="114"/>
  <c r="X61" i="114"/>
  <c r="V57" i="114"/>
  <c r="W57" i="114"/>
  <c r="X57" i="114"/>
  <c r="W3" i="114"/>
  <c r="X6" i="114"/>
  <c r="W7" i="114"/>
  <c r="X10" i="114"/>
  <c r="W11" i="114"/>
  <c r="X14" i="114"/>
  <c r="W15" i="114"/>
  <c r="X18" i="114"/>
  <c r="W19" i="114"/>
  <c r="X22" i="114"/>
  <c r="W23" i="114"/>
  <c r="X26" i="114"/>
  <c r="W27" i="114"/>
  <c r="X30" i="114"/>
  <c r="W31" i="114"/>
  <c r="X34" i="114"/>
  <c r="W35" i="114"/>
  <c r="X38" i="114"/>
  <c r="W39" i="114"/>
  <c r="X42" i="114"/>
  <c r="W43" i="114"/>
  <c r="X46" i="114"/>
  <c r="W47" i="114"/>
  <c r="X50" i="114"/>
  <c r="X54" i="114"/>
  <c r="W55" i="114"/>
  <c r="X58" i="114"/>
  <c r="W59" i="114"/>
  <c r="X62" i="114"/>
  <c r="W63" i="114"/>
  <c r="V3" i="114"/>
  <c r="W6" i="114"/>
  <c r="W10" i="114"/>
  <c r="W14" i="114"/>
  <c r="W18" i="114"/>
  <c r="W22" i="114"/>
  <c r="W26" i="114"/>
  <c r="W30" i="114"/>
  <c r="W34" i="114"/>
  <c r="W38" i="114"/>
  <c r="W42" i="114"/>
  <c r="W46" i="114"/>
  <c r="W50" i="114"/>
  <c r="W54" i="114"/>
  <c r="W58" i="114"/>
  <c r="W62" i="114"/>
  <c r="S70" i="113"/>
  <c r="U70" i="113" s="1"/>
  <c r="W70" i="113" s="1"/>
  <c r="T70" i="113"/>
  <c r="S69" i="113"/>
  <c r="U69" i="113" s="1"/>
  <c r="W69" i="113" s="1"/>
  <c r="T69" i="113"/>
  <c r="S63" i="113"/>
  <c r="U63" i="113" s="1"/>
  <c r="W63" i="113" s="1"/>
  <c r="T63" i="113"/>
  <c r="S61" i="113"/>
  <c r="U61" i="113" s="1"/>
  <c r="T61" i="113"/>
  <c r="O70" i="113"/>
  <c r="P70" i="113" s="1"/>
  <c r="O69" i="113"/>
  <c r="P69" i="113" s="1"/>
  <c r="O63" i="113"/>
  <c r="P63" i="113" s="1"/>
  <c r="O61" i="113"/>
  <c r="P61" i="113" s="1"/>
  <c r="O80" i="113"/>
  <c r="P80" i="113" s="1"/>
  <c r="S80" i="113"/>
  <c r="U80" i="113" s="1"/>
  <c r="W80" i="113" s="1"/>
  <c r="T80" i="113"/>
  <c r="T79" i="113"/>
  <c r="S79" i="113"/>
  <c r="U79" i="113" s="1"/>
  <c r="O79" i="113"/>
  <c r="P79" i="113" s="1"/>
  <c r="T76" i="113"/>
  <c r="S76" i="113"/>
  <c r="U76" i="113" s="1"/>
  <c r="W76" i="113" s="1"/>
  <c r="O76" i="113"/>
  <c r="P76" i="113" s="1"/>
  <c r="T74" i="113"/>
  <c r="S74" i="113"/>
  <c r="U74" i="113" s="1"/>
  <c r="O74" i="113"/>
  <c r="P74" i="113" s="1"/>
  <c r="T72" i="113"/>
  <c r="S72" i="113"/>
  <c r="U72" i="113" s="1"/>
  <c r="O72" i="113"/>
  <c r="P72" i="113" s="1"/>
  <c r="T68" i="113"/>
  <c r="S68" i="113"/>
  <c r="U68" i="113" s="1"/>
  <c r="O68" i="113"/>
  <c r="P68" i="113" s="1"/>
  <c r="T62" i="113"/>
  <c r="S62" i="113"/>
  <c r="U62" i="113" s="1"/>
  <c r="O62" i="113"/>
  <c r="P62" i="113" s="1"/>
  <c r="P277" i="113"/>
  <c r="P276" i="113"/>
  <c r="P275" i="113"/>
  <c r="P274" i="113"/>
  <c r="P273" i="113"/>
  <c r="P272" i="113"/>
  <c r="P271" i="113"/>
  <c r="P270" i="113"/>
  <c r="P269" i="113"/>
  <c r="P268" i="113"/>
  <c r="P267" i="113"/>
  <c r="P266" i="113"/>
  <c r="P265" i="113"/>
  <c r="P264" i="113"/>
  <c r="P263" i="113"/>
  <c r="P262" i="113"/>
  <c r="P261" i="113"/>
  <c r="P260" i="113"/>
  <c r="P259" i="113"/>
  <c r="P258" i="113"/>
  <c r="P257" i="113"/>
  <c r="P256" i="113"/>
  <c r="P255" i="113"/>
  <c r="P254" i="113"/>
  <c r="P253" i="113"/>
  <c r="P252" i="113"/>
  <c r="P251" i="113"/>
  <c r="P250" i="113"/>
  <c r="P249" i="113"/>
  <c r="P248" i="113"/>
  <c r="P247" i="113"/>
  <c r="P246" i="113"/>
  <c r="P245" i="113"/>
  <c r="P244" i="113"/>
  <c r="P243" i="113"/>
  <c r="P242" i="113"/>
  <c r="P241" i="113"/>
  <c r="P240" i="113"/>
  <c r="P239" i="113"/>
  <c r="P238" i="113"/>
  <c r="P237" i="113"/>
  <c r="P236" i="113"/>
  <c r="P235" i="113"/>
  <c r="P234" i="113"/>
  <c r="P233" i="113"/>
  <c r="P232" i="113"/>
  <c r="P231" i="113"/>
  <c r="P230" i="113"/>
  <c r="P229" i="113"/>
  <c r="P228" i="113"/>
  <c r="P227" i="113"/>
  <c r="P226" i="113"/>
  <c r="P225" i="113"/>
  <c r="P224" i="113"/>
  <c r="P223" i="113"/>
  <c r="P222" i="113"/>
  <c r="P221" i="113"/>
  <c r="P220" i="113"/>
  <c r="P219" i="113"/>
  <c r="P218" i="113"/>
  <c r="P217" i="113"/>
  <c r="P216" i="113"/>
  <c r="P215" i="113"/>
  <c r="P214" i="113"/>
  <c r="P213" i="113"/>
  <c r="P212" i="113"/>
  <c r="P211" i="113"/>
  <c r="P210" i="113"/>
  <c r="P209" i="113"/>
  <c r="P208" i="113"/>
  <c r="P207" i="113"/>
  <c r="P206" i="113"/>
  <c r="P205" i="113"/>
  <c r="P204" i="113"/>
  <c r="P203" i="113"/>
  <c r="P202" i="113"/>
  <c r="P201" i="113"/>
  <c r="P200" i="113"/>
  <c r="P199" i="113"/>
  <c r="P198" i="113"/>
  <c r="P197" i="113"/>
  <c r="P196" i="113"/>
  <c r="P195" i="113"/>
  <c r="P194" i="113"/>
  <c r="P193" i="113"/>
  <c r="P192" i="113"/>
  <c r="P191" i="113"/>
  <c r="P190" i="113"/>
  <c r="P189" i="113"/>
  <c r="P188" i="113"/>
  <c r="P187" i="113"/>
  <c r="P186" i="113"/>
  <c r="P185" i="113"/>
  <c r="P184" i="113"/>
  <c r="P183" i="113"/>
  <c r="P182" i="113"/>
  <c r="P181" i="113"/>
  <c r="P180" i="113"/>
  <c r="P179" i="113"/>
  <c r="P178" i="113"/>
  <c r="P177" i="113"/>
  <c r="P176" i="113"/>
  <c r="P175" i="113"/>
  <c r="P174" i="113"/>
  <c r="P173" i="113"/>
  <c r="P172" i="113"/>
  <c r="P171" i="113"/>
  <c r="P170" i="113"/>
  <c r="P169" i="113"/>
  <c r="P168" i="113"/>
  <c r="P167" i="113"/>
  <c r="P166" i="113"/>
  <c r="P165" i="113"/>
  <c r="P164" i="113"/>
  <c r="P163" i="113"/>
  <c r="P162" i="113"/>
  <c r="P161" i="113"/>
  <c r="P160" i="113"/>
  <c r="P159" i="113"/>
  <c r="P158" i="113"/>
  <c r="P157" i="113"/>
  <c r="P156" i="113"/>
  <c r="P155" i="113"/>
  <c r="P154" i="113"/>
  <c r="P153" i="113"/>
  <c r="P152" i="113"/>
  <c r="P151" i="113"/>
  <c r="P150" i="113"/>
  <c r="P149" i="113"/>
  <c r="P148" i="113"/>
  <c r="P147" i="113"/>
  <c r="P146" i="113"/>
  <c r="P145" i="113"/>
  <c r="P144" i="113"/>
  <c r="P143" i="113"/>
  <c r="P142" i="113"/>
  <c r="P141" i="113"/>
  <c r="P140" i="113"/>
  <c r="P139" i="113"/>
  <c r="P138" i="113"/>
  <c r="P137" i="113"/>
  <c r="P136" i="113"/>
  <c r="P135" i="113"/>
  <c r="P134" i="113"/>
  <c r="P133" i="113"/>
  <c r="P132" i="113"/>
  <c r="P131" i="113"/>
  <c r="P130" i="113"/>
  <c r="P129" i="113"/>
  <c r="P128" i="113"/>
  <c r="P127" i="113"/>
  <c r="P126" i="113"/>
  <c r="P125" i="113"/>
  <c r="P124" i="113"/>
  <c r="P123" i="113"/>
  <c r="P122" i="113"/>
  <c r="P121" i="113"/>
  <c r="P120" i="113"/>
  <c r="P119" i="113"/>
  <c r="P118" i="113"/>
  <c r="P117" i="113"/>
  <c r="P116" i="113"/>
  <c r="P115" i="113"/>
  <c r="P114" i="113"/>
  <c r="P113" i="113"/>
  <c r="P112" i="113"/>
  <c r="P111" i="113"/>
  <c r="P110" i="113"/>
  <c r="P109" i="113"/>
  <c r="P108" i="113"/>
  <c r="P107" i="113"/>
  <c r="P106" i="113"/>
  <c r="P105" i="113"/>
  <c r="P104" i="113"/>
  <c r="T103" i="113"/>
  <c r="S103" i="113"/>
  <c r="P103" i="113"/>
  <c r="P102" i="113"/>
  <c r="E102" i="113"/>
  <c r="D102" i="113"/>
  <c r="T78" i="113"/>
  <c r="S78" i="113"/>
  <c r="U78" i="113" s="1"/>
  <c r="V78" i="113" s="1"/>
  <c r="O78" i="113"/>
  <c r="P78" i="113" s="1"/>
  <c r="T77" i="113"/>
  <c r="S77" i="113"/>
  <c r="U77" i="113" s="1"/>
  <c r="O77" i="113"/>
  <c r="P77" i="113" s="1"/>
  <c r="T75" i="113"/>
  <c r="S75" i="113"/>
  <c r="U75" i="113" s="1"/>
  <c r="O75" i="113"/>
  <c r="P75" i="113" s="1"/>
  <c r="T73" i="113"/>
  <c r="S73" i="113"/>
  <c r="U73" i="113" s="1"/>
  <c r="O73" i="113"/>
  <c r="P73" i="113" s="1"/>
  <c r="T71" i="113"/>
  <c r="S71" i="113"/>
  <c r="U71" i="113" s="1"/>
  <c r="O71" i="113"/>
  <c r="P71" i="113" s="1"/>
  <c r="T67" i="113"/>
  <c r="S67" i="113"/>
  <c r="U67" i="113" s="1"/>
  <c r="O67" i="113"/>
  <c r="P67" i="113" s="1"/>
  <c r="T66" i="113"/>
  <c r="S66" i="113"/>
  <c r="U66" i="113" s="1"/>
  <c r="O66" i="113"/>
  <c r="P66" i="113" s="1"/>
  <c r="T64" i="113"/>
  <c r="S64" i="113"/>
  <c r="U64" i="113" s="1"/>
  <c r="O64" i="113"/>
  <c r="P64" i="113" s="1"/>
  <c r="T65" i="113"/>
  <c r="S65" i="113"/>
  <c r="U65" i="113" s="1"/>
  <c r="O65" i="113"/>
  <c r="P65" i="113" s="1"/>
  <c r="T60" i="113"/>
  <c r="S60" i="113"/>
  <c r="U60" i="113" s="1"/>
  <c r="O60" i="113"/>
  <c r="P60" i="113" s="1"/>
  <c r="T59" i="113"/>
  <c r="S59" i="113"/>
  <c r="U59" i="113" s="1"/>
  <c r="O59" i="113"/>
  <c r="P59" i="113" s="1"/>
  <c r="T58" i="113"/>
  <c r="S58" i="113"/>
  <c r="U58" i="113" s="1"/>
  <c r="O58" i="113"/>
  <c r="P58" i="113" s="1"/>
  <c r="T57" i="113"/>
  <c r="S57" i="113"/>
  <c r="U57" i="113" s="1"/>
  <c r="O57" i="113"/>
  <c r="P57" i="113" s="1"/>
  <c r="T56" i="113"/>
  <c r="S56" i="113"/>
  <c r="U56" i="113" s="1"/>
  <c r="O56" i="113"/>
  <c r="P56" i="113" s="1"/>
  <c r="T55" i="113"/>
  <c r="S55" i="113"/>
  <c r="U55" i="113" s="1"/>
  <c r="O55" i="113"/>
  <c r="P55" i="113" s="1"/>
  <c r="T54" i="113"/>
  <c r="S54" i="113"/>
  <c r="U54" i="113" s="1"/>
  <c r="O54" i="113"/>
  <c r="P54" i="113" s="1"/>
  <c r="T53" i="113"/>
  <c r="S53" i="113"/>
  <c r="U53" i="113" s="1"/>
  <c r="O53" i="113"/>
  <c r="P53" i="113" s="1"/>
  <c r="T52" i="113"/>
  <c r="S52" i="113"/>
  <c r="U52" i="113" s="1"/>
  <c r="O52" i="113"/>
  <c r="P52" i="113" s="1"/>
  <c r="T51" i="113"/>
  <c r="S51" i="113"/>
  <c r="U51" i="113" s="1"/>
  <c r="O51" i="113"/>
  <c r="P51" i="113" s="1"/>
  <c r="T50" i="113"/>
  <c r="S50" i="113"/>
  <c r="U50" i="113" s="1"/>
  <c r="O50" i="113"/>
  <c r="P50" i="113" s="1"/>
  <c r="T49" i="113"/>
  <c r="S49" i="113"/>
  <c r="U49" i="113" s="1"/>
  <c r="O49" i="113"/>
  <c r="P49" i="113" s="1"/>
  <c r="T48" i="113"/>
  <c r="S48" i="113"/>
  <c r="U48" i="113" s="1"/>
  <c r="O48" i="113"/>
  <c r="P48" i="113" s="1"/>
  <c r="T47" i="113"/>
  <c r="S47" i="113"/>
  <c r="U47" i="113" s="1"/>
  <c r="O47" i="113"/>
  <c r="P47" i="113" s="1"/>
  <c r="T46" i="113"/>
  <c r="S46" i="113"/>
  <c r="U46" i="113" s="1"/>
  <c r="O46" i="113"/>
  <c r="P46" i="113" s="1"/>
  <c r="T45" i="113"/>
  <c r="S45" i="113"/>
  <c r="U45" i="113" s="1"/>
  <c r="O45" i="113"/>
  <c r="P45" i="113" s="1"/>
  <c r="T44" i="113"/>
  <c r="S44" i="113"/>
  <c r="U44" i="113" s="1"/>
  <c r="O44" i="113"/>
  <c r="P44" i="113" s="1"/>
  <c r="T43" i="113"/>
  <c r="S43" i="113"/>
  <c r="U43" i="113" s="1"/>
  <c r="O43" i="113"/>
  <c r="P43" i="113" s="1"/>
  <c r="T42" i="113"/>
  <c r="S42" i="113"/>
  <c r="U42" i="113" s="1"/>
  <c r="O42" i="113"/>
  <c r="P42" i="113" s="1"/>
  <c r="T41" i="113"/>
  <c r="S41" i="113"/>
  <c r="U41" i="113" s="1"/>
  <c r="O41" i="113"/>
  <c r="P41" i="113" s="1"/>
  <c r="T40" i="113"/>
  <c r="S40" i="113"/>
  <c r="U40" i="113" s="1"/>
  <c r="O40" i="113"/>
  <c r="P40" i="113" s="1"/>
  <c r="T39" i="113"/>
  <c r="S39" i="113"/>
  <c r="U39" i="113" s="1"/>
  <c r="O39" i="113"/>
  <c r="P39" i="113" s="1"/>
  <c r="T38" i="113"/>
  <c r="S38" i="113"/>
  <c r="U38" i="113" s="1"/>
  <c r="O38" i="113"/>
  <c r="P38" i="113" s="1"/>
  <c r="T37" i="113"/>
  <c r="S37" i="113"/>
  <c r="U37" i="113" s="1"/>
  <c r="O37" i="113"/>
  <c r="P37" i="113" s="1"/>
  <c r="T36" i="113"/>
  <c r="S36" i="113"/>
  <c r="U36" i="113" s="1"/>
  <c r="O36" i="113"/>
  <c r="P36" i="113" s="1"/>
  <c r="T35" i="113"/>
  <c r="S35" i="113"/>
  <c r="U35" i="113" s="1"/>
  <c r="O35" i="113"/>
  <c r="P35" i="113" s="1"/>
  <c r="T34" i="113"/>
  <c r="S34" i="113"/>
  <c r="U34" i="113" s="1"/>
  <c r="O34" i="113"/>
  <c r="P34" i="113" s="1"/>
  <c r="T33" i="113"/>
  <c r="S33" i="113"/>
  <c r="U33" i="113" s="1"/>
  <c r="O33" i="113"/>
  <c r="P33" i="113" s="1"/>
  <c r="T32" i="113"/>
  <c r="S32" i="113"/>
  <c r="U32" i="113" s="1"/>
  <c r="O32" i="113"/>
  <c r="P32" i="113" s="1"/>
  <c r="T31" i="113"/>
  <c r="S31" i="113"/>
  <c r="U31" i="113" s="1"/>
  <c r="O31" i="113"/>
  <c r="P31" i="113" s="1"/>
  <c r="T30" i="113"/>
  <c r="S30" i="113"/>
  <c r="U30" i="113" s="1"/>
  <c r="O30" i="113"/>
  <c r="P30" i="113" s="1"/>
  <c r="T29" i="113"/>
  <c r="S29" i="113"/>
  <c r="U29" i="113" s="1"/>
  <c r="O29" i="113"/>
  <c r="P29" i="113" s="1"/>
  <c r="T28" i="113"/>
  <c r="S28" i="113"/>
  <c r="U28" i="113" s="1"/>
  <c r="O28" i="113"/>
  <c r="P28" i="113" s="1"/>
  <c r="T27" i="113"/>
  <c r="S27" i="113"/>
  <c r="U27" i="113" s="1"/>
  <c r="O27" i="113"/>
  <c r="P27" i="113" s="1"/>
  <c r="T26" i="113"/>
  <c r="S26" i="113"/>
  <c r="U26" i="113" s="1"/>
  <c r="O26" i="113"/>
  <c r="P26" i="113" s="1"/>
  <c r="T25" i="113"/>
  <c r="S25" i="113"/>
  <c r="U25" i="113" s="1"/>
  <c r="O25" i="113"/>
  <c r="P25" i="113" s="1"/>
  <c r="T24" i="113"/>
  <c r="S24" i="113"/>
  <c r="U24" i="113" s="1"/>
  <c r="O24" i="113"/>
  <c r="P24" i="113" s="1"/>
  <c r="T23" i="113"/>
  <c r="S23" i="113"/>
  <c r="U23" i="113" s="1"/>
  <c r="O23" i="113"/>
  <c r="P23" i="113" s="1"/>
  <c r="T22" i="113"/>
  <c r="S22" i="113"/>
  <c r="U22" i="113" s="1"/>
  <c r="O22" i="113"/>
  <c r="P22" i="113" s="1"/>
  <c r="T21" i="113"/>
  <c r="S21" i="113"/>
  <c r="U21" i="113" s="1"/>
  <c r="O21" i="113"/>
  <c r="P21" i="113" s="1"/>
  <c r="T20" i="113"/>
  <c r="S20" i="113"/>
  <c r="U20" i="113" s="1"/>
  <c r="O20" i="113"/>
  <c r="P20" i="113" s="1"/>
  <c r="T19" i="113"/>
  <c r="S19" i="113"/>
  <c r="U19" i="113" s="1"/>
  <c r="O19" i="113"/>
  <c r="P19" i="113" s="1"/>
  <c r="T18" i="113"/>
  <c r="S18" i="113"/>
  <c r="U18" i="113" s="1"/>
  <c r="O18" i="113"/>
  <c r="P18" i="113" s="1"/>
  <c r="T17" i="113"/>
  <c r="S17" i="113"/>
  <c r="U17" i="113" s="1"/>
  <c r="O17" i="113"/>
  <c r="P17" i="113" s="1"/>
  <c r="T16" i="113"/>
  <c r="S16" i="113"/>
  <c r="U16" i="113" s="1"/>
  <c r="O16" i="113"/>
  <c r="P16" i="113" s="1"/>
  <c r="T15" i="113"/>
  <c r="S15" i="113"/>
  <c r="U15" i="113" s="1"/>
  <c r="O15" i="113"/>
  <c r="P15" i="113" s="1"/>
  <c r="T14" i="113"/>
  <c r="S14" i="113"/>
  <c r="U14" i="113" s="1"/>
  <c r="O14" i="113"/>
  <c r="P14" i="113" s="1"/>
  <c r="T13" i="113"/>
  <c r="S13" i="113"/>
  <c r="U13" i="113" s="1"/>
  <c r="O13" i="113"/>
  <c r="P13" i="113" s="1"/>
  <c r="T12" i="113"/>
  <c r="S12" i="113"/>
  <c r="U12" i="113" s="1"/>
  <c r="O12" i="113"/>
  <c r="P12" i="113" s="1"/>
  <c r="T11" i="113"/>
  <c r="S11" i="113"/>
  <c r="U11" i="113" s="1"/>
  <c r="O11" i="113"/>
  <c r="P11" i="113" s="1"/>
  <c r="T10" i="113"/>
  <c r="S10" i="113"/>
  <c r="U10" i="113" s="1"/>
  <c r="O10" i="113"/>
  <c r="P10" i="113" s="1"/>
  <c r="T9" i="113"/>
  <c r="S9" i="113"/>
  <c r="U9" i="113" s="1"/>
  <c r="O9" i="113"/>
  <c r="P9" i="113" s="1"/>
  <c r="T8" i="113"/>
  <c r="S8" i="113"/>
  <c r="U8" i="113" s="1"/>
  <c r="O8" i="113"/>
  <c r="P8" i="113" s="1"/>
  <c r="T7" i="113"/>
  <c r="S7" i="113"/>
  <c r="U7" i="113" s="1"/>
  <c r="O7" i="113"/>
  <c r="P7" i="113" s="1"/>
  <c r="T6" i="113"/>
  <c r="S6" i="113"/>
  <c r="U6" i="113" s="1"/>
  <c r="O6" i="113"/>
  <c r="P6" i="113" s="1"/>
  <c r="T5" i="113"/>
  <c r="S5" i="113"/>
  <c r="U5" i="113" s="1"/>
  <c r="O5" i="113"/>
  <c r="P5" i="113" s="1"/>
  <c r="T4" i="113"/>
  <c r="S4" i="113"/>
  <c r="U4" i="113" s="1"/>
  <c r="O4" i="113"/>
  <c r="P4" i="113" s="1"/>
  <c r="A4" i="113"/>
  <c r="A5" i="113" s="1"/>
  <c r="A6" i="113" s="1"/>
  <c r="A7" i="113" s="1"/>
  <c r="A8" i="113" s="1"/>
  <c r="A9" i="113" s="1"/>
  <c r="A10" i="113" s="1"/>
  <c r="A11" i="113" s="1"/>
  <c r="A12" i="113" s="1"/>
  <c r="A13" i="113" s="1"/>
  <c r="A14" i="113" s="1"/>
  <c r="A15" i="113" s="1"/>
  <c r="A16" i="113" s="1"/>
  <c r="A17" i="113" s="1"/>
  <c r="A18" i="113" s="1"/>
  <c r="A19" i="113" s="1"/>
  <c r="A20" i="113" s="1"/>
  <c r="A21" i="113" s="1"/>
  <c r="A22" i="113" s="1"/>
  <c r="A23" i="113" s="1"/>
  <c r="A24" i="113" s="1"/>
  <c r="A25" i="113" s="1"/>
  <c r="A26" i="113" s="1"/>
  <c r="A27" i="113" s="1"/>
  <c r="A28" i="113" s="1"/>
  <c r="A29" i="113" s="1"/>
  <c r="A30" i="113" s="1"/>
  <c r="A31" i="113" s="1"/>
  <c r="A32" i="113" s="1"/>
  <c r="A33" i="113" s="1"/>
  <c r="A34" i="113" s="1"/>
  <c r="A35" i="113" s="1"/>
  <c r="A36" i="113" s="1"/>
  <c r="A37" i="113" s="1"/>
  <c r="A38" i="113" s="1"/>
  <c r="A39" i="113" s="1"/>
  <c r="A40" i="113" s="1"/>
  <c r="A41" i="113" s="1"/>
  <c r="A42" i="113" s="1"/>
  <c r="A43" i="113" s="1"/>
  <c r="A44" i="113" s="1"/>
  <c r="A45" i="113" s="1"/>
  <c r="A46" i="113" s="1"/>
  <c r="A47" i="113" s="1"/>
  <c r="A48" i="113" s="1"/>
  <c r="A49" i="113" s="1"/>
  <c r="A50" i="113" s="1"/>
  <c r="A51" i="113" s="1"/>
  <c r="A52" i="113" s="1"/>
  <c r="A53" i="113" s="1"/>
  <c r="A54" i="113" s="1"/>
  <c r="A55" i="113" s="1"/>
  <c r="A56" i="113" s="1"/>
  <c r="A57" i="113" s="1"/>
  <c r="A58" i="113" s="1"/>
  <c r="A59" i="113" s="1"/>
  <c r="A60" i="113" s="1"/>
  <c r="A61" i="113" s="1"/>
  <c r="A62" i="113" s="1"/>
  <c r="A63" i="113" s="1"/>
  <c r="A64" i="113" s="1"/>
  <c r="A65" i="113" s="1"/>
  <c r="A66" i="113" s="1"/>
  <c r="A67" i="113" s="1"/>
  <c r="A68" i="113" s="1"/>
  <c r="A69" i="113" s="1"/>
  <c r="A70" i="113" s="1"/>
  <c r="A71" i="113" s="1"/>
  <c r="A72" i="113" s="1"/>
  <c r="A73" i="113" s="1"/>
  <c r="A74" i="113" s="1"/>
  <c r="A75" i="113" s="1"/>
  <c r="A76" i="113" s="1"/>
  <c r="A77" i="113" s="1"/>
  <c r="A78" i="113" s="1"/>
  <c r="A79" i="113" s="1"/>
  <c r="A80" i="113" s="1"/>
  <c r="T3" i="113"/>
  <c r="S3" i="113"/>
  <c r="U3" i="113" s="1"/>
  <c r="O3" i="113"/>
  <c r="P3" i="113" s="1"/>
  <c r="S30" i="112"/>
  <c r="R30" i="112"/>
  <c r="Q30" i="112"/>
  <c r="D30" i="112"/>
  <c r="B30" i="112"/>
  <c r="S29" i="112"/>
  <c r="R29" i="112"/>
  <c r="Q29" i="112"/>
  <c r="D29" i="112"/>
  <c r="B29" i="112"/>
  <c r="S28" i="112"/>
  <c r="R28" i="112"/>
  <c r="Q28" i="112"/>
  <c r="D28" i="112"/>
  <c r="B28" i="112"/>
  <c r="S27" i="112"/>
  <c r="R27" i="112"/>
  <c r="Q27" i="112"/>
  <c r="D27" i="112"/>
  <c r="B27" i="112"/>
  <c r="S26" i="112"/>
  <c r="R26" i="112"/>
  <c r="Q26" i="112"/>
  <c r="D26" i="112"/>
  <c r="B26" i="112"/>
  <c r="S25" i="112"/>
  <c r="R25" i="112"/>
  <c r="Q25" i="112"/>
  <c r="D25" i="112"/>
  <c r="B25" i="112"/>
  <c r="S24" i="112"/>
  <c r="R24" i="112"/>
  <c r="Q24" i="112"/>
  <c r="D24" i="112"/>
  <c r="B24" i="112"/>
  <c r="S23" i="112"/>
  <c r="R23" i="112"/>
  <c r="Q23" i="112"/>
  <c r="D23" i="112"/>
  <c r="B23" i="112"/>
  <c r="S22" i="112"/>
  <c r="R22" i="112"/>
  <c r="Q22" i="112"/>
  <c r="D22" i="112"/>
  <c r="B22" i="112"/>
  <c r="S21" i="112"/>
  <c r="R21" i="112"/>
  <c r="Q21" i="112"/>
  <c r="D21" i="112"/>
  <c r="B21" i="112"/>
  <c r="S20" i="112"/>
  <c r="R20" i="112"/>
  <c r="Q20" i="112"/>
  <c r="D20" i="112"/>
  <c r="B20" i="112"/>
  <c r="S19" i="112"/>
  <c r="R19" i="112"/>
  <c r="Q19" i="112"/>
  <c r="D19" i="112"/>
  <c r="B19" i="112"/>
  <c r="S18" i="112"/>
  <c r="R18" i="112"/>
  <c r="Q18" i="112"/>
  <c r="D18" i="112"/>
  <c r="B18" i="112"/>
  <c r="S17" i="112"/>
  <c r="R17" i="112"/>
  <c r="Q17" i="112"/>
  <c r="D17" i="112"/>
  <c r="B17" i="112"/>
  <c r="S16" i="112"/>
  <c r="R16" i="112"/>
  <c r="Q16" i="112"/>
  <c r="D16" i="112"/>
  <c r="B16" i="112"/>
  <c r="S15" i="112"/>
  <c r="R15" i="112"/>
  <c r="Q15" i="112"/>
  <c r="D15" i="112"/>
  <c r="B15" i="112"/>
  <c r="S14" i="112"/>
  <c r="R14" i="112"/>
  <c r="Q14" i="112"/>
  <c r="D14" i="112"/>
  <c r="B14" i="112"/>
  <c r="S13" i="112"/>
  <c r="R13" i="112"/>
  <c r="Q13" i="112"/>
  <c r="D13" i="112"/>
  <c r="B13" i="112"/>
  <c r="S12" i="112"/>
  <c r="R12" i="112"/>
  <c r="Q12" i="112"/>
  <c r="D12" i="112"/>
  <c r="B12" i="112"/>
  <c r="S11" i="112"/>
  <c r="R11" i="112"/>
  <c r="Q11" i="112"/>
  <c r="D11" i="112"/>
  <c r="B11" i="112"/>
  <c r="S10" i="112"/>
  <c r="R10" i="112"/>
  <c r="Q10" i="112"/>
  <c r="D10" i="112"/>
  <c r="B10" i="112"/>
  <c r="S9" i="112"/>
  <c r="R9" i="112"/>
  <c r="Q9" i="112"/>
  <c r="D9" i="112"/>
  <c r="B9" i="112"/>
  <c r="S8" i="112"/>
  <c r="R8" i="112"/>
  <c r="Q8" i="112"/>
  <c r="D8" i="112"/>
  <c r="B8" i="112"/>
  <c r="S7" i="112"/>
  <c r="R7" i="112"/>
  <c r="Q7" i="112"/>
  <c r="D7" i="112"/>
  <c r="B7" i="112"/>
  <c r="S6" i="112"/>
  <c r="R6" i="112"/>
  <c r="Q6" i="112"/>
  <c r="D6" i="112"/>
  <c r="B6" i="112"/>
  <c r="H68" i="98" l="1"/>
  <c r="H8" i="130"/>
  <c r="F8" i="130"/>
  <c r="L8" i="130"/>
  <c r="I8" i="130"/>
  <c r="N8" i="130"/>
  <c r="K8" i="130"/>
  <c r="V103" i="114"/>
  <c r="W103" i="114"/>
  <c r="W18" i="113"/>
  <c r="X18" i="113"/>
  <c r="V18" i="113"/>
  <c r="V80" i="113"/>
  <c r="X70" i="113"/>
  <c r="V70" i="113"/>
  <c r="X69" i="113"/>
  <c r="V69" i="113"/>
  <c r="X63" i="113"/>
  <c r="V63" i="113"/>
  <c r="W61" i="113"/>
  <c r="V61" i="113"/>
  <c r="X61" i="113"/>
  <c r="X80" i="113"/>
  <c r="B5" i="112"/>
  <c r="V76" i="113"/>
  <c r="X76" i="113"/>
  <c r="V79" i="113"/>
  <c r="W79" i="113"/>
  <c r="X79" i="113"/>
  <c r="V74" i="113"/>
  <c r="W74" i="113"/>
  <c r="X74" i="113"/>
  <c r="V72" i="113"/>
  <c r="W72" i="113"/>
  <c r="X72" i="113"/>
  <c r="V68" i="113"/>
  <c r="W68" i="113"/>
  <c r="X68" i="113"/>
  <c r="V62" i="113"/>
  <c r="W62" i="113"/>
  <c r="X62" i="113"/>
  <c r="E6" i="112"/>
  <c r="K8" i="112"/>
  <c r="G10" i="112"/>
  <c r="K12" i="112"/>
  <c r="G14" i="112"/>
  <c r="K16" i="112"/>
  <c r="G18" i="112"/>
  <c r="K20" i="112"/>
  <c r="G22" i="112"/>
  <c r="K24" i="112"/>
  <c r="G26" i="112"/>
  <c r="K7" i="112"/>
  <c r="G9" i="112"/>
  <c r="K11" i="112"/>
  <c r="G13" i="112"/>
  <c r="K15" i="112"/>
  <c r="G17" i="112"/>
  <c r="K19" i="112"/>
  <c r="G21" i="112"/>
  <c r="K23" i="112"/>
  <c r="G25" i="112"/>
  <c r="K27" i="112"/>
  <c r="G29" i="112"/>
  <c r="G8" i="112"/>
  <c r="K10" i="112"/>
  <c r="G12" i="112"/>
  <c r="K14" i="112"/>
  <c r="G16" i="112"/>
  <c r="K18" i="112"/>
  <c r="G20" i="112"/>
  <c r="K22" i="112"/>
  <c r="G24" i="112"/>
  <c r="K26" i="112"/>
  <c r="G28" i="112"/>
  <c r="K6" i="112"/>
  <c r="G7" i="112"/>
  <c r="K9" i="112"/>
  <c r="G11" i="112"/>
  <c r="K13" i="112"/>
  <c r="G15" i="112"/>
  <c r="K17" i="112"/>
  <c r="G19" i="112"/>
  <c r="K21" i="112"/>
  <c r="G23" i="112"/>
  <c r="K25" i="112"/>
  <c r="G27" i="112"/>
  <c r="K29" i="112"/>
  <c r="H30" i="112"/>
  <c r="W75" i="113"/>
  <c r="V75" i="113"/>
  <c r="X75" i="113"/>
  <c r="H29" i="112"/>
  <c r="H28" i="112"/>
  <c r="H27" i="112"/>
  <c r="H26" i="112"/>
  <c r="H25" i="112"/>
  <c r="H24" i="112"/>
  <c r="H23" i="112"/>
  <c r="H22" i="112"/>
  <c r="H21" i="112"/>
  <c r="H20" i="112"/>
  <c r="H15" i="112"/>
  <c r="H10" i="112"/>
  <c r="H9" i="112"/>
  <c r="H8" i="112"/>
  <c r="J12" i="112"/>
  <c r="J11" i="112"/>
  <c r="J10" i="112"/>
  <c r="J9" i="112"/>
  <c r="J8" i="112"/>
  <c r="J7" i="112"/>
  <c r="J6" i="112"/>
  <c r="J30" i="112"/>
  <c r="J29" i="112"/>
  <c r="J28" i="112"/>
  <c r="J27" i="112"/>
  <c r="J26" i="112"/>
  <c r="J25" i="112"/>
  <c r="J24" i="112"/>
  <c r="J23" i="112"/>
  <c r="J22" i="112"/>
  <c r="J21" i="112"/>
  <c r="J20" i="112"/>
  <c r="J19" i="112"/>
  <c r="J18" i="112"/>
  <c r="E30" i="112"/>
  <c r="E29" i="112"/>
  <c r="E28" i="112"/>
  <c r="E27" i="112"/>
  <c r="E26" i="112"/>
  <c r="E25" i="112"/>
  <c r="E24" i="112"/>
  <c r="E23" i="112"/>
  <c r="E22" i="112"/>
  <c r="E21" i="112"/>
  <c r="E20" i="112"/>
  <c r="E19" i="112"/>
  <c r="E18" i="112"/>
  <c r="E17" i="112"/>
  <c r="E16" i="112"/>
  <c r="E15" i="112"/>
  <c r="E14" i="112"/>
  <c r="E13" i="112"/>
  <c r="E12" i="112"/>
  <c r="E11" i="112"/>
  <c r="E10" i="112"/>
  <c r="E9" i="112"/>
  <c r="E8" i="112"/>
  <c r="E7" i="112"/>
  <c r="H19" i="112"/>
  <c r="H18" i="112"/>
  <c r="H17" i="112"/>
  <c r="H14" i="112"/>
  <c r="H7" i="112"/>
  <c r="J16" i="112"/>
  <c r="J15" i="112"/>
  <c r="J14" i="112"/>
  <c r="J13" i="112"/>
  <c r="M30" i="112"/>
  <c r="G30" i="112"/>
  <c r="M29" i="112"/>
  <c r="M28" i="112"/>
  <c r="O28" i="112" s="1"/>
  <c r="M27" i="112"/>
  <c r="M26" i="112"/>
  <c r="O26" i="112" s="1"/>
  <c r="M25" i="112"/>
  <c r="M24" i="112"/>
  <c r="M23" i="112"/>
  <c r="M22" i="112"/>
  <c r="O22" i="112" s="1"/>
  <c r="M21" i="112"/>
  <c r="M20" i="112"/>
  <c r="O20" i="112" s="1"/>
  <c r="M19" i="112"/>
  <c r="M18" i="112"/>
  <c r="O18" i="112" s="1"/>
  <c r="M17" i="112"/>
  <c r="M16" i="112"/>
  <c r="M15" i="112"/>
  <c r="M14" i="112"/>
  <c r="O14" i="112" s="1"/>
  <c r="M13" i="112"/>
  <c r="M12" i="112"/>
  <c r="O12" i="112" s="1"/>
  <c r="M11" i="112"/>
  <c r="M10" i="112"/>
  <c r="O10" i="112" s="1"/>
  <c r="M9" i="112"/>
  <c r="O9" i="112" s="1"/>
  <c r="M8" i="112"/>
  <c r="M7" i="112"/>
  <c r="M6" i="112"/>
  <c r="H16" i="112"/>
  <c r="H13" i="112"/>
  <c r="H12" i="112"/>
  <c r="H11" i="112"/>
  <c r="H6" i="112"/>
  <c r="J17" i="112"/>
  <c r="X8" i="113"/>
  <c r="V8" i="113"/>
  <c r="W8" i="113"/>
  <c r="W9" i="113"/>
  <c r="X9" i="113"/>
  <c r="V9" i="113"/>
  <c r="X16" i="113"/>
  <c r="V16" i="113"/>
  <c r="W16" i="113"/>
  <c r="W17" i="113"/>
  <c r="X17" i="113"/>
  <c r="V17" i="113"/>
  <c r="X24" i="113"/>
  <c r="V24" i="113"/>
  <c r="W24" i="113"/>
  <c r="W25" i="113"/>
  <c r="X25" i="113"/>
  <c r="V25" i="113"/>
  <c r="X32" i="113"/>
  <c r="V32" i="113"/>
  <c r="W32" i="113"/>
  <c r="W33" i="113"/>
  <c r="X33" i="113"/>
  <c r="V33" i="113"/>
  <c r="X40" i="113"/>
  <c r="V40" i="113"/>
  <c r="W40" i="113"/>
  <c r="W41" i="113"/>
  <c r="X41" i="113"/>
  <c r="V41" i="113"/>
  <c r="X48" i="113"/>
  <c r="V48" i="113"/>
  <c r="W48" i="113"/>
  <c r="W49" i="113"/>
  <c r="X49" i="113"/>
  <c r="V49" i="113"/>
  <c r="X56" i="113"/>
  <c r="V56" i="113"/>
  <c r="W56" i="113"/>
  <c r="W57" i="113"/>
  <c r="X57" i="113"/>
  <c r="V57" i="113"/>
  <c r="X66" i="113"/>
  <c r="V66" i="113"/>
  <c r="W66" i="113"/>
  <c r="W67" i="113"/>
  <c r="X67" i="113"/>
  <c r="V67" i="113"/>
  <c r="O11" i="112"/>
  <c r="K28" i="112"/>
  <c r="V10" i="113"/>
  <c r="W10" i="113"/>
  <c r="X10" i="113"/>
  <c r="V11" i="113"/>
  <c r="W11" i="113"/>
  <c r="X11" i="113"/>
  <c r="V19" i="113"/>
  <c r="W19" i="113"/>
  <c r="X19" i="113"/>
  <c r="V26" i="113"/>
  <c r="W26" i="113"/>
  <c r="X26" i="113"/>
  <c r="V27" i="113"/>
  <c r="W27" i="113"/>
  <c r="X27" i="113"/>
  <c r="V34" i="113"/>
  <c r="W34" i="113"/>
  <c r="X34" i="113"/>
  <c r="V35" i="113"/>
  <c r="W35" i="113"/>
  <c r="X35" i="113"/>
  <c r="V42" i="113"/>
  <c r="W42" i="113"/>
  <c r="X42" i="113"/>
  <c r="V43" i="113"/>
  <c r="W43" i="113"/>
  <c r="X43" i="113"/>
  <c r="V50" i="113"/>
  <c r="W50" i="113"/>
  <c r="X50" i="113"/>
  <c r="V51" i="113"/>
  <c r="W51" i="113"/>
  <c r="X51" i="113"/>
  <c r="V58" i="113"/>
  <c r="W58" i="113"/>
  <c r="X58" i="113"/>
  <c r="V59" i="113"/>
  <c r="W59" i="113"/>
  <c r="X59" i="113"/>
  <c r="V71" i="113"/>
  <c r="W71" i="113"/>
  <c r="X71" i="113"/>
  <c r="W77" i="113"/>
  <c r="X77" i="113"/>
  <c r="V77" i="113"/>
  <c r="W5" i="113"/>
  <c r="X5" i="113"/>
  <c r="V5" i="113"/>
  <c r="X12" i="113"/>
  <c r="V12" i="113"/>
  <c r="W12" i="113"/>
  <c r="W13" i="113"/>
  <c r="X13" i="113"/>
  <c r="V13" i="113"/>
  <c r="X20" i="113"/>
  <c r="V20" i="113"/>
  <c r="W20" i="113"/>
  <c r="W21" i="113"/>
  <c r="X21" i="113"/>
  <c r="V21" i="113"/>
  <c r="X28" i="113"/>
  <c r="V28" i="113"/>
  <c r="W28" i="113"/>
  <c r="W29" i="113"/>
  <c r="X29" i="113"/>
  <c r="V29" i="113"/>
  <c r="X36" i="113"/>
  <c r="V36" i="113"/>
  <c r="W36" i="113"/>
  <c r="W37" i="113"/>
  <c r="X37" i="113"/>
  <c r="V37" i="113"/>
  <c r="X44" i="113"/>
  <c r="V44" i="113"/>
  <c r="W44" i="113"/>
  <c r="W45" i="113"/>
  <c r="X45" i="113"/>
  <c r="V45" i="113"/>
  <c r="X52" i="113"/>
  <c r="V52" i="113"/>
  <c r="W52" i="113"/>
  <c r="W53" i="113"/>
  <c r="X53" i="113"/>
  <c r="V53" i="113"/>
  <c r="W60" i="113"/>
  <c r="X60" i="113"/>
  <c r="V60" i="113"/>
  <c r="O25" i="112"/>
  <c r="O29" i="112"/>
  <c r="K30" i="112"/>
  <c r="V3" i="113"/>
  <c r="U103" i="113"/>
  <c r="W3" i="113"/>
  <c r="X3" i="113"/>
  <c r="X4" i="113"/>
  <c r="V4" i="113"/>
  <c r="W4" i="113"/>
  <c r="V6" i="113"/>
  <c r="W6" i="113"/>
  <c r="X6" i="113"/>
  <c r="V7" i="113"/>
  <c r="W7" i="113"/>
  <c r="X7" i="113"/>
  <c r="V14" i="113"/>
  <c r="W14" i="113"/>
  <c r="X14" i="113"/>
  <c r="V15" i="113"/>
  <c r="W15" i="113"/>
  <c r="X15" i="113"/>
  <c r="V22" i="113"/>
  <c r="W22" i="113"/>
  <c r="X22" i="113"/>
  <c r="V23" i="113"/>
  <c r="W23" i="113"/>
  <c r="X23" i="113"/>
  <c r="V30" i="113"/>
  <c r="W30" i="113"/>
  <c r="X30" i="113"/>
  <c r="V31" i="113"/>
  <c r="W31" i="113"/>
  <c r="X31" i="113"/>
  <c r="V38" i="113"/>
  <c r="W38" i="113"/>
  <c r="X38" i="113"/>
  <c r="V39" i="113"/>
  <c r="W39" i="113"/>
  <c r="X39" i="113"/>
  <c r="V46" i="113"/>
  <c r="W46" i="113"/>
  <c r="X46" i="113"/>
  <c r="V47" i="113"/>
  <c r="W47" i="113"/>
  <c r="X47" i="113"/>
  <c r="V54" i="113"/>
  <c r="W54" i="113"/>
  <c r="X54" i="113"/>
  <c r="V55" i="113"/>
  <c r="W55" i="113"/>
  <c r="X55" i="113"/>
  <c r="V65" i="113"/>
  <c r="W65" i="113"/>
  <c r="X65" i="113"/>
  <c r="V64" i="113"/>
  <c r="W64" i="113"/>
  <c r="X64" i="113"/>
  <c r="V73" i="113"/>
  <c r="W73" i="113"/>
  <c r="X73" i="113"/>
  <c r="D5" i="112"/>
  <c r="G6" i="112"/>
  <c r="X78" i="113"/>
  <c r="W78" i="113"/>
  <c r="E80" i="104"/>
  <c r="E28" i="104"/>
  <c r="E43" i="106"/>
  <c r="P43" i="106"/>
  <c r="P23" i="106"/>
  <c r="E23" i="106"/>
  <c r="E209" i="104"/>
  <c r="E184" i="104"/>
  <c r="E158" i="104"/>
  <c r="E132" i="104"/>
  <c r="E106" i="104"/>
  <c r="E54" i="104"/>
  <c r="N97" i="98"/>
  <c r="K97" i="98"/>
  <c r="H97" i="98"/>
  <c r="E97" i="98"/>
  <c r="E96" i="98"/>
  <c r="N66" i="98"/>
  <c r="K66" i="98"/>
  <c r="H66" i="98"/>
  <c r="E66" i="98"/>
  <c r="E65" i="98"/>
  <c r="N35" i="98"/>
  <c r="K35" i="98"/>
  <c r="H35" i="98"/>
  <c r="E35" i="98"/>
  <c r="E34" i="98"/>
  <c r="P219" i="106"/>
  <c r="P218" i="106"/>
  <c r="P217" i="106"/>
  <c r="P216" i="106"/>
  <c r="P215" i="106"/>
  <c r="P214" i="106"/>
  <c r="P213" i="106"/>
  <c r="P212" i="106"/>
  <c r="P211" i="106"/>
  <c r="P210" i="106"/>
  <c r="P209" i="106"/>
  <c r="P208" i="106"/>
  <c r="P207" i="106"/>
  <c r="P206" i="106"/>
  <c r="P205" i="106"/>
  <c r="P204" i="106"/>
  <c r="P203" i="106"/>
  <c r="P202" i="106"/>
  <c r="P201" i="106"/>
  <c r="P200" i="106"/>
  <c r="P199" i="106"/>
  <c r="P198" i="106"/>
  <c r="P197" i="106"/>
  <c r="P196" i="106"/>
  <c r="P195" i="106"/>
  <c r="P194" i="106"/>
  <c r="P193" i="106"/>
  <c r="P192" i="106"/>
  <c r="P191" i="106"/>
  <c r="P190" i="106"/>
  <c r="P189" i="106"/>
  <c r="P188" i="106"/>
  <c r="P187" i="106"/>
  <c r="P186" i="106"/>
  <c r="P185" i="106"/>
  <c r="P184" i="106"/>
  <c r="P183" i="106"/>
  <c r="P182" i="106"/>
  <c r="P181" i="106"/>
  <c r="P180" i="106"/>
  <c r="P179" i="106"/>
  <c r="P178" i="106"/>
  <c r="P177" i="106"/>
  <c r="P176" i="106"/>
  <c r="P175" i="106"/>
  <c r="P174" i="106"/>
  <c r="P173" i="106"/>
  <c r="P172" i="106"/>
  <c r="P171" i="106"/>
  <c r="P170" i="106"/>
  <c r="P169" i="106"/>
  <c r="P168" i="106"/>
  <c r="P167" i="106"/>
  <c r="P166" i="106"/>
  <c r="P165" i="106"/>
  <c r="P164" i="106"/>
  <c r="P163" i="106"/>
  <c r="P162" i="106"/>
  <c r="P161" i="106"/>
  <c r="P160" i="106"/>
  <c r="P159" i="106"/>
  <c r="P158" i="106"/>
  <c r="P157" i="106"/>
  <c r="P156" i="106"/>
  <c r="P155" i="106"/>
  <c r="P154" i="106"/>
  <c r="P153" i="106"/>
  <c r="P152" i="106"/>
  <c r="P151" i="106"/>
  <c r="P150" i="106"/>
  <c r="P149" i="106"/>
  <c r="P148" i="106"/>
  <c r="P147" i="106"/>
  <c r="P146" i="106"/>
  <c r="P145" i="106"/>
  <c r="P144" i="106"/>
  <c r="P143" i="106"/>
  <c r="P142" i="106"/>
  <c r="P141" i="106"/>
  <c r="P140" i="106"/>
  <c r="P139" i="106"/>
  <c r="P138" i="106"/>
  <c r="P137" i="106"/>
  <c r="P136" i="106"/>
  <c r="P135" i="106"/>
  <c r="P134" i="106"/>
  <c r="P133" i="106"/>
  <c r="P132" i="106"/>
  <c r="P131" i="106"/>
  <c r="P130" i="106"/>
  <c r="P129" i="106"/>
  <c r="P128" i="106"/>
  <c r="P127" i="106"/>
  <c r="P126" i="106"/>
  <c r="P125" i="106"/>
  <c r="P124" i="106"/>
  <c r="P123" i="106"/>
  <c r="P122" i="106"/>
  <c r="P121" i="106"/>
  <c r="P120" i="106"/>
  <c r="P119" i="106"/>
  <c r="P118" i="106"/>
  <c r="P117" i="106"/>
  <c r="P116" i="106"/>
  <c r="P115" i="106"/>
  <c r="P114" i="106"/>
  <c r="P113" i="106"/>
  <c r="P112" i="106"/>
  <c r="P111" i="106"/>
  <c r="P110" i="106"/>
  <c r="P109" i="106"/>
  <c r="P108" i="106"/>
  <c r="P107" i="106"/>
  <c r="P106" i="106"/>
  <c r="P105" i="106"/>
  <c r="P104" i="106"/>
  <c r="P103" i="106"/>
  <c r="P102" i="106"/>
  <c r="P101" i="106"/>
  <c r="P100" i="106"/>
  <c r="P99" i="106"/>
  <c r="P98" i="106"/>
  <c r="P97" i="106"/>
  <c r="P96" i="106"/>
  <c r="P95" i="106"/>
  <c r="P94" i="106"/>
  <c r="P93" i="106"/>
  <c r="P92" i="106"/>
  <c r="P91" i="106"/>
  <c r="P90" i="106"/>
  <c r="P89" i="106"/>
  <c r="P88" i="106"/>
  <c r="P87" i="106"/>
  <c r="P86" i="106"/>
  <c r="P85" i="106"/>
  <c r="P84" i="106"/>
  <c r="P83" i="106"/>
  <c r="P82" i="106"/>
  <c r="P81" i="106"/>
  <c r="P80" i="106"/>
  <c r="P79" i="106"/>
  <c r="P78" i="106"/>
  <c r="P77" i="106"/>
  <c r="P76" i="106"/>
  <c r="P75" i="106"/>
  <c r="P74" i="106"/>
  <c r="P73" i="106"/>
  <c r="P72" i="106"/>
  <c r="P71" i="106"/>
  <c r="P70" i="106"/>
  <c r="P69" i="106"/>
  <c r="P68" i="106"/>
  <c r="P67" i="106"/>
  <c r="P66" i="106"/>
  <c r="P65" i="106"/>
  <c r="P64" i="106"/>
  <c r="P63" i="106"/>
  <c r="P62" i="106"/>
  <c r="P61" i="106"/>
  <c r="P60" i="106"/>
  <c r="P59" i="106"/>
  <c r="P58" i="106"/>
  <c r="P57" i="106"/>
  <c r="P56" i="106"/>
  <c r="P55" i="106"/>
  <c r="P54" i="106"/>
  <c r="P53" i="106"/>
  <c r="P52" i="106"/>
  <c r="P51" i="106"/>
  <c r="P50" i="106"/>
  <c r="P49" i="106"/>
  <c r="P48" i="106"/>
  <c r="P47" i="106"/>
  <c r="P46" i="106"/>
  <c r="P45" i="106"/>
  <c r="P44" i="106"/>
  <c r="O26" i="106"/>
  <c r="P26" i="106" s="1"/>
  <c r="O25" i="106"/>
  <c r="P25" i="106" s="1"/>
  <c r="O24" i="106"/>
  <c r="P24" i="106" s="1"/>
  <c r="O22" i="106"/>
  <c r="P22" i="106" s="1"/>
  <c r="O21" i="106"/>
  <c r="P21" i="106" s="1"/>
  <c r="O20" i="106"/>
  <c r="P20" i="106" s="1"/>
  <c r="O19" i="106"/>
  <c r="P19" i="106" s="1"/>
  <c r="O18" i="106"/>
  <c r="P18" i="106" s="1"/>
  <c r="O17" i="106"/>
  <c r="P17" i="106" s="1"/>
  <c r="O16" i="106"/>
  <c r="P16" i="106" s="1"/>
  <c r="O15" i="106"/>
  <c r="P15" i="106" s="1"/>
  <c r="O14" i="106"/>
  <c r="P14" i="106" s="1"/>
  <c r="O13" i="106"/>
  <c r="P13" i="106" s="1"/>
  <c r="O12" i="106"/>
  <c r="P12" i="106" s="1"/>
  <c r="O11" i="106"/>
  <c r="P11" i="106" s="1"/>
  <c r="O10" i="106"/>
  <c r="P10" i="106" s="1"/>
  <c r="O9" i="106"/>
  <c r="P9" i="106" s="1"/>
  <c r="O8" i="106"/>
  <c r="P8" i="106" s="1"/>
  <c r="O7" i="106"/>
  <c r="P7" i="106" s="1"/>
  <c r="O6" i="106"/>
  <c r="P6" i="106" s="1"/>
  <c r="O5" i="106"/>
  <c r="P5" i="106" s="1"/>
  <c r="O4" i="106"/>
  <c r="P4" i="106" s="1"/>
  <c r="O3" i="106"/>
  <c r="P3" i="106" s="1"/>
  <c r="S30" i="105"/>
  <c r="R30" i="105"/>
  <c r="Q30" i="105"/>
  <c r="D30" i="105"/>
  <c r="M31" i="98" s="1"/>
  <c r="B30" i="105"/>
  <c r="K31" i="98" s="1"/>
  <c r="S29" i="105"/>
  <c r="R29" i="105"/>
  <c r="Q29" i="105"/>
  <c r="D29" i="105"/>
  <c r="M30" i="98" s="1"/>
  <c r="B29" i="105"/>
  <c r="K30" i="98" s="1"/>
  <c r="S28" i="105"/>
  <c r="R28" i="105"/>
  <c r="Q28" i="105"/>
  <c r="D28" i="105"/>
  <c r="M29" i="98" s="1"/>
  <c r="B28" i="105"/>
  <c r="K29" i="98" s="1"/>
  <c r="S27" i="105"/>
  <c r="R27" i="105"/>
  <c r="Q27" i="105"/>
  <c r="D27" i="105"/>
  <c r="M28" i="98" s="1"/>
  <c r="B27" i="105"/>
  <c r="K28" i="98" s="1"/>
  <c r="S26" i="105"/>
  <c r="R26" i="105"/>
  <c r="Q26" i="105"/>
  <c r="D26" i="105"/>
  <c r="M27" i="98" s="1"/>
  <c r="B26" i="105"/>
  <c r="K27" i="98" s="1"/>
  <c r="S25" i="105"/>
  <c r="R25" i="105"/>
  <c r="Q25" i="105"/>
  <c r="D25" i="105"/>
  <c r="M26" i="98" s="1"/>
  <c r="B25" i="105"/>
  <c r="K26" i="98" s="1"/>
  <c r="S24" i="105"/>
  <c r="R24" i="105"/>
  <c r="Q24" i="105"/>
  <c r="D24" i="105"/>
  <c r="M25" i="98" s="1"/>
  <c r="B24" i="105"/>
  <c r="K25" i="98" s="1"/>
  <c r="S23" i="105"/>
  <c r="R23" i="105"/>
  <c r="Q23" i="105"/>
  <c r="D23" i="105"/>
  <c r="M24" i="98" s="1"/>
  <c r="B23" i="105"/>
  <c r="K24" i="98" s="1"/>
  <c r="S22" i="105"/>
  <c r="R22" i="105"/>
  <c r="Q22" i="105"/>
  <c r="D22" i="105"/>
  <c r="M23" i="98" s="1"/>
  <c r="B22" i="105"/>
  <c r="K23" i="98" s="1"/>
  <c r="S21" i="105"/>
  <c r="R21" i="105"/>
  <c r="Q21" i="105"/>
  <c r="D21" i="105"/>
  <c r="M22" i="98" s="1"/>
  <c r="B21" i="105"/>
  <c r="K22" i="98" s="1"/>
  <c r="S20" i="105"/>
  <c r="R20" i="105"/>
  <c r="Q20" i="105"/>
  <c r="D20" i="105"/>
  <c r="M21" i="98" s="1"/>
  <c r="B20" i="105"/>
  <c r="K21" i="98" s="1"/>
  <c r="S19" i="105"/>
  <c r="R19" i="105"/>
  <c r="Q19" i="105"/>
  <c r="D19" i="105"/>
  <c r="M20" i="98" s="1"/>
  <c r="B19" i="105"/>
  <c r="K20" i="98" s="1"/>
  <c r="S18" i="105"/>
  <c r="R18" i="105"/>
  <c r="Q18" i="105"/>
  <c r="D18" i="105"/>
  <c r="M19" i="98" s="1"/>
  <c r="B18" i="105"/>
  <c r="K19" i="98" s="1"/>
  <c r="S17" i="105"/>
  <c r="R17" i="105"/>
  <c r="Q17" i="105"/>
  <c r="D17" i="105"/>
  <c r="M18" i="98" s="1"/>
  <c r="B17" i="105"/>
  <c r="K18" i="98" s="1"/>
  <c r="S16" i="105"/>
  <c r="R16" i="105"/>
  <c r="Q16" i="105"/>
  <c r="D16" i="105"/>
  <c r="M17" i="98" s="1"/>
  <c r="B16" i="105"/>
  <c r="K17" i="98" s="1"/>
  <c r="S15" i="105"/>
  <c r="R15" i="105"/>
  <c r="Q15" i="105"/>
  <c r="D15" i="105"/>
  <c r="M16" i="98" s="1"/>
  <c r="B15" i="105"/>
  <c r="K16" i="98" s="1"/>
  <c r="S14" i="105"/>
  <c r="R14" i="105"/>
  <c r="Q14" i="105"/>
  <c r="D14" i="105"/>
  <c r="M15" i="98" s="1"/>
  <c r="B14" i="105"/>
  <c r="K15" i="98" s="1"/>
  <c r="S13" i="105"/>
  <c r="R13" i="105"/>
  <c r="Q13" i="105"/>
  <c r="D13" i="105"/>
  <c r="M14" i="98" s="1"/>
  <c r="B13" i="105"/>
  <c r="K14" i="98" s="1"/>
  <c r="S12" i="105"/>
  <c r="R12" i="105"/>
  <c r="Q12" i="105"/>
  <c r="D12" i="105"/>
  <c r="M13" i="98" s="1"/>
  <c r="B12" i="105"/>
  <c r="K13" i="98" s="1"/>
  <c r="S11" i="105"/>
  <c r="R11" i="105"/>
  <c r="Q11" i="105"/>
  <c r="D11" i="105"/>
  <c r="M12" i="98" s="1"/>
  <c r="B11" i="105"/>
  <c r="K12" i="98" s="1"/>
  <c r="S10" i="105"/>
  <c r="R10" i="105"/>
  <c r="Q10" i="105"/>
  <c r="D10" i="105"/>
  <c r="M11" i="98" s="1"/>
  <c r="B10" i="105"/>
  <c r="K11" i="98" s="1"/>
  <c r="S9" i="105"/>
  <c r="R9" i="105"/>
  <c r="Q9" i="105"/>
  <c r="D9" i="105"/>
  <c r="M10" i="98" s="1"/>
  <c r="B9" i="105"/>
  <c r="K10" i="98" s="1"/>
  <c r="S8" i="105"/>
  <c r="R8" i="105"/>
  <c r="Q8" i="105"/>
  <c r="D8" i="105"/>
  <c r="M9" i="98" s="1"/>
  <c r="B8" i="105"/>
  <c r="K9" i="98" s="1"/>
  <c r="S7" i="105"/>
  <c r="R7" i="105"/>
  <c r="Q7" i="105"/>
  <c r="D7" i="105"/>
  <c r="M8" i="98" s="1"/>
  <c r="B7" i="105"/>
  <c r="K8" i="98" s="1"/>
  <c r="S6" i="105"/>
  <c r="R6" i="105"/>
  <c r="Q6" i="105"/>
  <c r="D6" i="105"/>
  <c r="M7" i="98" s="1"/>
  <c r="B6" i="105"/>
  <c r="P385" i="104"/>
  <c r="P384" i="104"/>
  <c r="P383" i="104"/>
  <c r="P382" i="104"/>
  <c r="P381" i="104"/>
  <c r="P380" i="104"/>
  <c r="P379" i="104"/>
  <c r="P378" i="104"/>
  <c r="P377" i="104"/>
  <c r="P376" i="104"/>
  <c r="P375" i="104"/>
  <c r="P374" i="104"/>
  <c r="P373" i="104"/>
  <c r="P372" i="104"/>
  <c r="P371" i="104"/>
  <c r="P370" i="104"/>
  <c r="P369" i="104"/>
  <c r="P368" i="104"/>
  <c r="P367" i="104"/>
  <c r="P366" i="104"/>
  <c r="P365" i="104"/>
  <c r="P364" i="104"/>
  <c r="P363" i="104"/>
  <c r="P362" i="104"/>
  <c r="P361" i="104"/>
  <c r="P360" i="104"/>
  <c r="P359" i="104"/>
  <c r="P358" i="104"/>
  <c r="P357" i="104"/>
  <c r="P356" i="104"/>
  <c r="P355" i="104"/>
  <c r="P354" i="104"/>
  <c r="P353" i="104"/>
  <c r="P352" i="104"/>
  <c r="P351" i="104"/>
  <c r="P350" i="104"/>
  <c r="P349" i="104"/>
  <c r="P348" i="104"/>
  <c r="P347" i="104"/>
  <c r="P346" i="104"/>
  <c r="P345" i="104"/>
  <c r="P344" i="104"/>
  <c r="P343" i="104"/>
  <c r="P342" i="104"/>
  <c r="P341" i="104"/>
  <c r="P340" i="104"/>
  <c r="P339" i="104"/>
  <c r="P338" i="104"/>
  <c r="P337" i="104"/>
  <c r="P336" i="104"/>
  <c r="P335" i="104"/>
  <c r="P334" i="104"/>
  <c r="P333" i="104"/>
  <c r="P332" i="104"/>
  <c r="P331" i="104"/>
  <c r="P330" i="104"/>
  <c r="P329" i="104"/>
  <c r="P328" i="104"/>
  <c r="P327" i="104"/>
  <c r="P326" i="104"/>
  <c r="P325" i="104"/>
  <c r="P324" i="104"/>
  <c r="P323" i="104"/>
  <c r="P322" i="104"/>
  <c r="P321" i="104"/>
  <c r="P320" i="104"/>
  <c r="P319" i="104"/>
  <c r="P318" i="104"/>
  <c r="P317" i="104"/>
  <c r="P316" i="104"/>
  <c r="P315" i="104"/>
  <c r="P314" i="104"/>
  <c r="P313" i="104"/>
  <c r="P312" i="104"/>
  <c r="P311" i="104"/>
  <c r="P310" i="104"/>
  <c r="P309" i="104"/>
  <c r="P308" i="104"/>
  <c r="P307" i="104"/>
  <c r="P306" i="104"/>
  <c r="P305" i="104"/>
  <c r="P304" i="104"/>
  <c r="P303" i="104"/>
  <c r="P302" i="104"/>
  <c r="P301" i="104"/>
  <c r="P300" i="104"/>
  <c r="P299" i="104"/>
  <c r="P298" i="104"/>
  <c r="P297" i="104"/>
  <c r="P296" i="104"/>
  <c r="P295" i="104"/>
  <c r="P294" i="104"/>
  <c r="P293" i="104"/>
  <c r="P292" i="104"/>
  <c r="P291" i="104"/>
  <c r="P290" i="104"/>
  <c r="P289" i="104"/>
  <c r="P288" i="104"/>
  <c r="P287" i="104"/>
  <c r="P286" i="104"/>
  <c r="P285" i="104"/>
  <c r="P284" i="104"/>
  <c r="P283" i="104"/>
  <c r="P282" i="104"/>
  <c r="P281" i="104"/>
  <c r="P280" i="104"/>
  <c r="P279" i="104"/>
  <c r="P278" i="104"/>
  <c r="P277" i="104"/>
  <c r="P276" i="104"/>
  <c r="P275" i="104"/>
  <c r="P274" i="104"/>
  <c r="P273" i="104"/>
  <c r="P272" i="104"/>
  <c r="P271" i="104"/>
  <c r="P270" i="104"/>
  <c r="P269" i="104"/>
  <c r="P268" i="104"/>
  <c r="P267" i="104"/>
  <c r="P266" i="104"/>
  <c r="P265" i="104"/>
  <c r="P264" i="104"/>
  <c r="P263" i="104"/>
  <c r="P262" i="104"/>
  <c r="P261" i="104"/>
  <c r="P260" i="104"/>
  <c r="P259" i="104"/>
  <c r="P258" i="104"/>
  <c r="P257" i="104"/>
  <c r="P256" i="104"/>
  <c r="P255" i="104"/>
  <c r="P254" i="104"/>
  <c r="P253" i="104"/>
  <c r="P252" i="104"/>
  <c r="P251" i="104"/>
  <c r="P250" i="104"/>
  <c r="P249" i="104"/>
  <c r="P248" i="104"/>
  <c r="P247" i="104"/>
  <c r="P246" i="104"/>
  <c r="P245" i="104"/>
  <c r="P244" i="104"/>
  <c r="P243" i="104"/>
  <c r="P242" i="104"/>
  <c r="P241" i="104"/>
  <c r="P240" i="104"/>
  <c r="P239" i="104"/>
  <c r="P238" i="104"/>
  <c r="P237" i="104"/>
  <c r="P236" i="104"/>
  <c r="P235" i="104"/>
  <c r="P234" i="104"/>
  <c r="P233" i="104"/>
  <c r="O5" i="104"/>
  <c r="P5" i="104" s="1"/>
  <c r="O4" i="104"/>
  <c r="P4" i="104" s="1"/>
  <c r="O3" i="104"/>
  <c r="P3" i="104" s="1"/>
  <c r="S30" i="103"/>
  <c r="R30" i="103"/>
  <c r="Q30" i="103"/>
  <c r="D30" i="103"/>
  <c r="B30" i="103"/>
  <c r="S29" i="103"/>
  <c r="R29" i="103"/>
  <c r="Q29" i="103"/>
  <c r="D29" i="103"/>
  <c r="B29" i="103"/>
  <c r="S28" i="103"/>
  <c r="R28" i="103"/>
  <c r="Q28" i="103"/>
  <c r="D28" i="103"/>
  <c r="B28" i="103"/>
  <c r="S27" i="103"/>
  <c r="R27" i="103"/>
  <c r="Q27" i="103"/>
  <c r="D27" i="103"/>
  <c r="B27" i="103"/>
  <c r="S26" i="103"/>
  <c r="R26" i="103"/>
  <c r="Q26" i="103"/>
  <c r="D26" i="103"/>
  <c r="B26" i="103"/>
  <c r="S25" i="103"/>
  <c r="R25" i="103"/>
  <c r="Q25" i="103"/>
  <c r="D25" i="103"/>
  <c r="B25" i="103"/>
  <c r="S24" i="103"/>
  <c r="R24" i="103"/>
  <c r="Q24" i="103"/>
  <c r="D24" i="103"/>
  <c r="B24" i="103"/>
  <c r="S23" i="103"/>
  <c r="R23" i="103"/>
  <c r="Q23" i="103"/>
  <c r="D23" i="103"/>
  <c r="B23" i="103"/>
  <c r="S22" i="103"/>
  <c r="R22" i="103"/>
  <c r="Q22" i="103"/>
  <c r="D22" i="103"/>
  <c r="B22" i="103"/>
  <c r="S21" i="103"/>
  <c r="R21" i="103"/>
  <c r="Q21" i="103"/>
  <c r="D21" i="103"/>
  <c r="B21" i="103"/>
  <c r="S20" i="103"/>
  <c r="R20" i="103"/>
  <c r="Q20" i="103"/>
  <c r="D20" i="103"/>
  <c r="B20" i="103"/>
  <c r="S19" i="103"/>
  <c r="R19" i="103"/>
  <c r="Q19" i="103"/>
  <c r="D19" i="103"/>
  <c r="B19" i="103"/>
  <c r="S18" i="103"/>
  <c r="R18" i="103"/>
  <c r="Q18" i="103"/>
  <c r="D18" i="103"/>
  <c r="B18" i="103"/>
  <c r="S17" i="103"/>
  <c r="R17" i="103"/>
  <c r="Q17" i="103"/>
  <c r="D17" i="103"/>
  <c r="B17" i="103"/>
  <c r="S16" i="103"/>
  <c r="R16" i="103"/>
  <c r="Q16" i="103"/>
  <c r="D16" i="103"/>
  <c r="B16" i="103"/>
  <c r="S15" i="103"/>
  <c r="R15" i="103"/>
  <c r="Q15" i="103"/>
  <c r="D15" i="103"/>
  <c r="B15" i="103"/>
  <c r="S14" i="103"/>
  <c r="R14" i="103"/>
  <c r="Q14" i="103"/>
  <c r="D14" i="103"/>
  <c r="B14" i="103"/>
  <c r="S13" i="103"/>
  <c r="R13" i="103"/>
  <c r="Q13" i="103"/>
  <c r="D13" i="103"/>
  <c r="B13" i="103"/>
  <c r="S12" i="103"/>
  <c r="R12" i="103"/>
  <c r="Q12" i="103"/>
  <c r="D12" i="103"/>
  <c r="B12" i="103"/>
  <c r="S11" i="103"/>
  <c r="R11" i="103"/>
  <c r="Q11" i="103"/>
  <c r="D11" i="103"/>
  <c r="B11" i="103"/>
  <c r="S10" i="103"/>
  <c r="R10" i="103"/>
  <c r="Q10" i="103"/>
  <c r="D10" i="103"/>
  <c r="B10" i="103"/>
  <c r="S9" i="103"/>
  <c r="R9" i="103"/>
  <c r="Q9" i="103"/>
  <c r="D9" i="103"/>
  <c r="B9" i="103"/>
  <c r="S8" i="103"/>
  <c r="R8" i="103"/>
  <c r="Q8" i="103"/>
  <c r="D8" i="103"/>
  <c r="B8" i="103"/>
  <c r="S7" i="103"/>
  <c r="R7" i="103"/>
  <c r="Q7" i="103"/>
  <c r="D7" i="103"/>
  <c r="B7" i="103"/>
  <c r="S6" i="103"/>
  <c r="R6" i="103"/>
  <c r="Q6" i="103"/>
  <c r="D6" i="103"/>
  <c r="B6" i="103"/>
  <c r="P198" i="102"/>
  <c r="P197" i="102"/>
  <c r="P196" i="102"/>
  <c r="P195" i="102"/>
  <c r="P194" i="102"/>
  <c r="P193" i="102"/>
  <c r="P192" i="102"/>
  <c r="P191" i="102"/>
  <c r="P190" i="102"/>
  <c r="P189" i="102"/>
  <c r="P188" i="102"/>
  <c r="P187" i="102"/>
  <c r="P186" i="102"/>
  <c r="P185" i="102"/>
  <c r="P184" i="102"/>
  <c r="P183" i="102"/>
  <c r="P182" i="102"/>
  <c r="P181" i="102"/>
  <c r="P180" i="102"/>
  <c r="P179" i="102"/>
  <c r="P178" i="102"/>
  <c r="P177" i="102"/>
  <c r="P176" i="102"/>
  <c r="P175" i="102"/>
  <c r="P174" i="102"/>
  <c r="P173" i="102"/>
  <c r="P172" i="102"/>
  <c r="P171" i="102"/>
  <c r="P170" i="102"/>
  <c r="P169" i="102"/>
  <c r="P168" i="102"/>
  <c r="P167" i="102"/>
  <c r="P166" i="102"/>
  <c r="P165" i="102"/>
  <c r="P164" i="102"/>
  <c r="P163" i="102"/>
  <c r="P162" i="102"/>
  <c r="P161" i="102"/>
  <c r="P160" i="102"/>
  <c r="P159" i="102"/>
  <c r="P158" i="102"/>
  <c r="P157" i="102"/>
  <c r="P156" i="102"/>
  <c r="P155" i="102"/>
  <c r="P154" i="102"/>
  <c r="P153" i="102"/>
  <c r="P152" i="102"/>
  <c r="P151" i="102"/>
  <c r="P150" i="102"/>
  <c r="P149" i="102"/>
  <c r="P148" i="102"/>
  <c r="P147" i="102"/>
  <c r="P146" i="102"/>
  <c r="P145" i="102"/>
  <c r="P144" i="102"/>
  <c r="P143" i="102"/>
  <c r="P142" i="102"/>
  <c r="P141" i="102"/>
  <c r="P140" i="102"/>
  <c r="P139" i="102"/>
  <c r="P138" i="102"/>
  <c r="P137" i="102"/>
  <c r="P136" i="102"/>
  <c r="P135" i="102"/>
  <c r="P134" i="102"/>
  <c r="P133" i="102"/>
  <c r="P132" i="102"/>
  <c r="P131" i="102"/>
  <c r="P130" i="102"/>
  <c r="P129" i="102"/>
  <c r="P128" i="102"/>
  <c r="P127" i="102"/>
  <c r="P126" i="102"/>
  <c r="P125" i="102"/>
  <c r="P124" i="102"/>
  <c r="P123" i="102"/>
  <c r="P122" i="102"/>
  <c r="P121" i="102"/>
  <c r="P120" i="102"/>
  <c r="P119" i="102"/>
  <c r="P118" i="102"/>
  <c r="P117" i="102"/>
  <c r="P116" i="102"/>
  <c r="P115" i="102"/>
  <c r="P114" i="102"/>
  <c r="P113" i="102"/>
  <c r="P112" i="102"/>
  <c r="P111" i="102"/>
  <c r="P110" i="102"/>
  <c r="P109" i="102"/>
  <c r="P108" i="102"/>
  <c r="P107" i="102"/>
  <c r="P106" i="102"/>
  <c r="P105" i="102"/>
  <c r="P104" i="102"/>
  <c r="P103" i="102"/>
  <c r="P102" i="102"/>
  <c r="P101" i="102"/>
  <c r="P100" i="102"/>
  <c r="P99" i="102"/>
  <c r="P98" i="102"/>
  <c r="P97" i="102"/>
  <c r="P96" i="102"/>
  <c r="P95" i="102"/>
  <c r="P94" i="102"/>
  <c r="P93" i="102"/>
  <c r="P92" i="102"/>
  <c r="P91" i="102"/>
  <c r="P90" i="102"/>
  <c r="P89" i="102"/>
  <c r="P88" i="102"/>
  <c r="P87" i="102"/>
  <c r="P86" i="102"/>
  <c r="P85" i="102"/>
  <c r="P84" i="102"/>
  <c r="P83" i="102"/>
  <c r="P82" i="102"/>
  <c r="P81" i="102"/>
  <c r="P80" i="102"/>
  <c r="P79" i="102"/>
  <c r="P78" i="102"/>
  <c r="P77" i="102"/>
  <c r="P76" i="102"/>
  <c r="P75" i="102"/>
  <c r="P74" i="102"/>
  <c r="P73" i="102"/>
  <c r="P72" i="102"/>
  <c r="P71" i="102"/>
  <c r="P70" i="102"/>
  <c r="P69" i="102"/>
  <c r="P68" i="102"/>
  <c r="P67" i="102"/>
  <c r="P66" i="102"/>
  <c r="P65" i="102"/>
  <c r="P64" i="102"/>
  <c r="P63" i="102"/>
  <c r="P62" i="102"/>
  <c r="P61" i="102"/>
  <c r="P60" i="102"/>
  <c r="P59" i="102"/>
  <c r="P58" i="102"/>
  <c r="P57" i="102"/>
  <c r="P56" i="102"/>
  <c r="P55" i="102"/>
  <c r="P54" i="102"/>
  <c r="P53" i="102"/>
  <c r="P52" i="102"/>
  <c r="P51" i="102"/>
  <c r="P50" i="102"/>
  <c r="P49" i="102"/>
  <c r="P48" i="102"/>
  <c r="P47" i="102"/>
  <c r="P46" i="102"/>
  <c r="P45" i="102"/>
  <c r="P44" i="102"/>
  <c r="P43" i="102"/>
  <c r="P42" i="102"/>
  <c r="P41" i="102"/>
  <c r="P40" i="102"/>
  <c r="P39" i="102"/>
  <c r="P38" i="102"/>
  <c r="P37" i="102"/>
  <c r="P36" i="102"/>
  <c r="P35" i="102"/>
  <c r="P34" i="102"/>
  <c r="P33" i="102"/>
  <c r="P32" i="102"/>
  <c r="P31" i="102"/>
  <c r="P30" i="102"/>
  <c r="P29" i="102"/>
  <c r="P28" i="102"/>
  <c r="P27" i="102"/>
  <c r="P26" i="102"/>
  <c r="P25" i="102"/>
  <c r="P24" i="102"/>
  <c r="P23" i="102"/>
  <c r="E23" i="102"/>
  <c r="O6" i="102"/>
  <c r="P6" i="102" s="1"/>
  <c r="O5" i="102"/>
  <c r="P5" i="102" s="1"/>
  <c r="O4" i="102"/>
  <c r="P4" i="102" s="1"/>
  <c r="O3" i="102"/>
  <c r="P3" i="102" s="1"/>
  <c r="S30" i="101"/>
  <c r="R30" i="101"/>
  <c r="Q30" i="101"/>
  <c r="D30" i="101"/>
  <c r="P31" i="98" s="1"/>
  <c r="B30" i="101"/>
  <c r="N31" i="98" s="1"/>
  <c r="S29" i="101"/>
  <c r="R29" i="101"/>
  <c r="Q29" i="101"/>
  <c r="D29" i="101"/>
  <c r="P30" i="98" s="1"/>
  <c r="B29" i="101"/>
  <c r="N30" i="98" s="1"/>
  <c r="S28" i="101"/>
  <c r="R28" i="101"/>
  <c r="Q28" i="101"/>
  <c r="D28" i="101"/>
  <c r="P29" i="98" s="1"/>
  <c r="B28" i="101"/>
  <c r="N29" i="98" s="1"/>
  <c r="S27" i="101"/>
  <c r="R27" i="101"/>
  <c r="Q27" i="101"/>
  <c r="D27" i="101"/>
  <c r="P28" i="98" s="1"/>
  <c r="B27" i="101"/>
  <c r="N28" i="98" s="1"/>
  <c r="S26" i="101"/>
  <c r="R26" i="101"/>
  <c r="Q26" i="101"/>
  <c r="D26" i="101"/>
  <c r="P27" i="98" s="1"/>
  <c r="B26" i="101"/>
  <c r="N27" i="98" s="1"/>
  <c r="S25" i="101"/>
  <c r="R25" i="101"/>
  <c r="Q25" i="101"/>
  <c r="D25" i="101"/>
  <c r="P26" i="98" s="1"/>
  <c r="B25" i="101"/>
  <c r="N26" i="98" s="1"/>
  <c r="S24" i="101"/>
  <c r="R24" i="101"/>
  <c r="Q24" i="101"/>
  <c r="D24" i="101"/>
  <c r="P25" i="98" s="1"/>
  <c r="B24" i="101"/>
  <c r="N25" i="98" s="1"/>
  <c r="S23" i="101"/>
  <c r="R23" i="101"/>
  <c r="Q23" i="101"/>
  <c r="D23" i="101"/>
  <c r="P24" i="98" s="1"/>
  <c r="B23" i="101"/>
  <c r="N24" i="98" s="1"/>
  <c r="S22" i="101"/>
  <c r="R22" i="101"/>
  <c r="Q22" i="101"/>
  <c r="D22" i="101"/>
  <c r="P23" i="98" s="1"/>
  <c r="B22" i="101"/>
  <c r="N23" i="98" s="1"/>
  <c r="S21" i="101"/>
  <c r="R21" i="101"/>
  <c r="Q21" i="101"/>
  <c r="D21" i="101"/>
  <c r="P22" i="98" s="1"/>
  <c r="B21" i="101"/>
  <c r="N22" i="98" s="1"/>
  <c r="S20" i="101"/>
  <c r="R20" i="101"/>
  <c r="Q20" i="101"/>
  <c r="D20" i="101"/>
  <c r="P21" i="98" s="1"/>
  <c r="B20" i="101"/>
  <c r="N21" i="98" s="1"/>
  <c r="S19" i="101"/>
  <c r="R19" i="101"/>
  <c r="Q19" i="101"/>
  <c r="D19" i="101"/>
  <c r="P20" i="98" s="1"/>
  <c r="B19" i="101"/>
  <c r="N20" i="98" s="1"/>
  <c r="S18" i="101"/>
  <c r="R18" i="101"/>
  <c r="Q18" i="101"/>
  <c r="D18" i="101"/>
  <c r="P19" i="98" s="1"/>
  <c r="B18" i="101"/>
  <c r="N19" i="98" s="1"/>
  <c r="S17" i="101"/>
  <c r="R17" i="101"/>
  <c r="Q17" i="101"/>
  <c r="D17" i="101"/>
  <c r="P18" i="98" s="1"/>
  <c r="B17" i="101"/>
  <c r="N18" i="98" s="1"/>
  <c r="S16" i="101"/>
  <c r="R16" i="101"/>
  <c r="Q16" i="101"/>
  <c r="D16" i="101"/>
  <c r="P17" i="98" s="1"/>
  <c r="B16" i="101"/>
  <c r="N17" i="98" s="1"/>
  <c r="S15" i="101"/>
  <c r="R15" i="101"/>
  <c r="Q15" i="101"/>
  <c r="D15" i="101"/>
  <c r="P16" i="98" s="1"/>
  <c r="B15" i="101"/>
  <c r="N16" i="98" s="1"/>
  <c r="S14" i="101"/>
  <c r="R14" i="101"/>
  <c r="Q14" i="101"/>
  <c r="D14" i="101"/>
  <c r="P15" i="98" s="1"/>
  <c r="B14" i="101"/>
  <c r="N15" i="98" s="1"/>
  <c r="S13" i="101"/>
  <c r="R13" i="101"/>
  <c r="Q13" i="101"/>
  <c r="D13" i="101"/>
  <c r="P14" i="98" s="1"/>
  <c r="B13" i="101"/>
  <c r="N14" i="98" s="1"/>
  <c r="S12" i="101"/>
  <c r="R12" i="101"/>
  <c r="Q12" i="101"/>
  <c r="D12" i="101"/>
  <c r="P13" i="98" s="1"/>
  <c r="B12" i="101"/>
  <c r="N13" i="98" s="1"/>
  <c r="S11" i="101"/>
  <c r="R11" i="101"/>
  <c r="Q11" i="101"/>
  <c r="D11" i="101"/>
  <c r="P12" i="98" s="1"/>
  <c r="B11" i="101"/>
  <c r="N12" i="98" s="1"/>
  <c r="S10" i="101"/>
  <c r="R10" i="101"/>
  <c r="Q10" i="101"/>
  <c r="D10" i="101"/>
  <c r="P11" i="98" s="1"/>
  <c r="B10" i="101"/>
  <c r="N11" i="98" s="1"/>
  <c r="S9" i="101"/>
  <c r="R9" i="101"/>
  <c r="Q9" i="101"/>
  <c r="D9" i="101"/>
  <c r="P10" i="98" s="1"/>
  <c r="B9" i="101"/>
  <c r="N10" i="98" s="1"/>
  <c r="S8" i="101"/>
  <c r="R8" i="101"/>
  <c r="Q8" i="101"/>
  <c r="D8" i="101"/>
  <c r="P9" i="98" s="1"/>
  <c r="B8" i="101"/>
  <c r="N9" i="98" s="1"/>
  <c r="S7" i="101"/>
  <c r="R7" i="101"/>
  <c r="Q7" i="101"/>
  <c r="D7" i="101"/>
  <c r="P8" i="98" s="1"/>
  <c r="B7" i="101"/>
  <c r="N8" i="98" s="1"/>
  <c r="S6" i="101"/>
  <c r="R6" i="101"/>
  <c r="Q6" i="101"/>
  <c r="D6" i="101"/>
  <c r="P7" i="98" s="1"/>
  <c r="B6" i="101"/>
  <c r="N7" i="98" s="1"/>
  <c r="B7" i="92"/>
  <c r="B8" i="92"/>
  <c r="B9" i="92"/>
  <c r="B10" i="92"/>
  <c r="B11" i="92"/>
  <c r="B12" i="92"/>
  <c r="E13" i="98" s="1"/>
  <c r="B13" i="92"/>
  <c r="B14" i="92"/>
  <c r="E15" i="98" s="1"/>
  <c r="B15" i="92"/>
  <c r="E16" i="98" s="1"/>
  <c r="B16" i="92"/>
  <c r="E17" i="98" s="1"/>
  <c r="B17" i="92"/>
  <c r="E18" i="98" s="1"/>
  <c r="B18" i="92"/>
  <c r="B19" i="92"/>
  <c r="E20" i="98" s="1"/>
  <c r="B20" i="92"/>
  <c r="E21" i="98" s="1"/>
  <c r="B21" i="92"/>
  <c r="E22" i="98" s="1"/>
  <c r="B22" i="92"/>
  <c r="E23" i="98" s="1"/>
  <c r="B23" i="92"/>
  <c r="E24" i="98" s="1"/>
  <c r="B24" i="92"/>
  <c r="E25" i="98" s="1"/>
  <c r="B25" i="92"/>
  <c r="E26" i="98" s="1"/>
  <c r="B26" i="92"/>
  <c r="E27" i="98" s="1"/>
  <c r="B27" i="92"/>
  <c r="E28" i="98" s="1"/>
  <c r="B28" i="92"/>
  <c r="E29" i="98" s="1"/>
  <c r="B29" i="92"/>
  <c r="E30" i="98" s="1"/>
  <c r="B30" i="92"/>
  <c r="E31" i="98" s="1"/>
  <c r="B6" i="92"/>
  <c r="G9" i="98"/>
  <c r="G10" i="98"/>
  <c r="G11" i="98"/>
  <c r="G12" i="98"/>
  <c r="G13" i="98"/>
  <c r="G14" i="98"/>
  <c r="G15" i="98"/>
  <c r="G16" i="98"/>
  <c r="G17" i="98"/>
  <c r="G18" i="98"/>
  <c r="G19" i="98"/>
  <c r="G20" i="98"/>
  <c r="G21" i="98"/>
  <c r="G22" i="98"/>
  <c r="G23" i="98"/>
  <c r="G24" i="98"/>
  <c r="G25" i="98"/>
  <c r="G26" i="98"/>
  <c r="G27" i="98"/>
  <c r="G28" i="98"/>
  <c r="G29" i="98"/>
  <c r="G30" i="98"/>
  <c r="G31" i="98"/>
  <c r="G7" i="98"/>
  <c r="Q7" i="92"/>
  <c r="R7" i="92"/>
  <c r="S7" i="92"/>
  <c r="Q8" i="92"/>
  <c r="R8" i="92"/>
  <c r="S8" i="92"/>
  <c r="Q9" i="92"/>
  <c r="R9" i="92"/>
  <c r="S9" i="92"/>
  <c r="Q10" i="92"/>
  <c r="R10" i="92"/>
  <c r="S10" i="92"/>
  <c r="Q11" i="92"/>
  <c r="R11" i="92"/>
  <c r="S11" i="92"/>
  <c r="Q12" i="92"/>
  <c r="R12" i="92"/>
  <c r="S12" i="92"/>
  <c r="Q13" i="92"/>
  <c r="R13" i="92"/>
  <c r="S13" i="92"/>
  <c r="Q14" i="92"/>
  <c r="R14" i="92"/>
  <c r="S14" i="92"/>
  <c r="Q15" i="92"/>
  <c r="R15" i="92"/>
  <c r="S15" i="92"/>
  <c r="Q16" i="92"/>
  <c r="R16" i="92"/>
  <c r="S16" i="92"/>
  <c r="Q17" i="92"/>
  <c r="R17" i="92"/>
  <c r="S17" i="92"/>
  <c r="Q18" i="92"/>
  <c r="R18" i="92"/>
  <c r="S18" i="92"/>
  <c r="Q19" i="92"/>
  <c r="R19" i="92"/>
  <c r="S19" i="92"/>
  <c r="Q20" i="92"/>
  <c r="R20" i="92"/>
  <c r="S20" i="92"/>
  <c r="Q21" i="92"/>
  <c r="R21" i="92"/>
  <c r="S21" i="92"/>
  <c r="Q22" i="92"/>
  <c r="R22" i="92"/>
  <c r="S22" i="92"/>
  <c r="Q23" i="92"/>
  <c r="R23" i="92"/>
  <c r="S23" i="92"/>
  <c r="Q24" i="92"/>
  <c r="R24" i="92"/>
  <c r="S24" i="92"/>
  <c r="Q25" i="92"/>
  <c r="R25" i="92"/>
  <c r="S25" i="92"/>
  <c r="Q26" i="92"/>
  <c r="R26" i="92"/>
  <c r="S26" i="92"/>
  <c r="Q27" i="92"/>
  <c r="R27" i="92"/>
  <c r="S27" i="92"/>
  <c r="Q28" i="92"/>
  <c r="R28" i="92"/>
  <c r="S28" i="92"/>
  <c r="Q29" i="92"/>
  <c r="R29" i="92"/>
  <c r="S29" i="92"/>
  <c r="Q30" i="92"/>
  <c r="R30" i="92"/>
  <c r="S30" i="92"/>
  <c r="R6" i="92"/>
  <c r="S6" i="92"/>
  <c r="Q6" i="92"/>
  <c r="G8" i="98"/>
  <c r="A8" i="22"/>
  <c r="O8" i="22"/>
  <c r="Q8" i="22"/>
  <c r="X27" i="22"/>
  <c r="X26" i="22"/>
  <c r="X25" i="22"/>
  <c r="X24" i="22"/>
  <c r="X23" i="22"/>
  <c r="X22" i="22"/>
  <c r="X21" i="22"/>
  <c r="X20" i="22"/>
  <c r="X19" i="22"/>
  <c r="X18" i="22"/>
  <c r="X17" i="22"/>
  <c r="X16" i="22"/>
  <c r="X15" i="22"/>
  <c r="X14" i="22"/>
  <c r="X13" i="22"/>
  <c r="X12" i="22"/>
  <c r="X11" i="22"/>
  <c r="X10" i="22"/>
  <c r="X9" i="22"/>
  <c r="X8" i="22"/>
  <c r="A9" i="22"/>
  <c r="O9" i="22"/>
  <c r="Q9" i="22"/>
  <c r="A10" i="22"/>
  <c r="O10" i="22"/>
  <c r="Q10" i="22"/>
  <c r="A11" i="22"/>
  <c r="O11" i="22"/>
  <c r="Q11" i="22"/>
  <c r="A12" i="22"/>
  <c r="O12" i="22"/>
  <c r="Q12" i="22"/>
  <c r="A13" i="22"/>
  <c r="O13" i="22"/>
  <c r="Q13" i="22"/>
  <c r="A14" i="22"/>
  <c r="O14" i="22"/>
  <c r="Q14" i="22"/>
  <c r="A15" i="22"/>
  <c r="O15" i="22"/>
  <c r="Q15" i="22"/>
  <c r="A16" i="22"/>
  <c r="O16" i="22"/>
  <c r="Q16" i="22"/>
  <c r="A17" i="22"/>
  <c r="O17" i="22"/>
  <c r="Q17" i="22"/>
  <c r="A18" i="22"/>
  <c r="O18" i="22"/>
  <c r="Q18" i="22"/>
  <c r="A19" i="22"/>
  <c r="O19" i="22"/>
  <c r="Q19" i="22"/>
  <c r="A20" i="22"/>
  <c r="O20" i="22"/>
  <c r="Q20" i="22"/>
  <c r="A21" i="22"/>
  <c r="O21" i="22"/>
  <c r="Q21" i="22"/>
  <c r="A22" i="22"/>
  <c r="O22" i="22"/>
  <c r="Q22" i="22"/>
  <c r="A23" i="22"/>
  <c r="O23" i="22"/>
  <c r="Q23" i="22"/>
  <c r="A24" i="22"/>
  <c r="A25" i="22"/>
  <c r="A26" i="22"/>
  <c r="A27" i="22"/>
  <c r="O27" i="22"/>
  <c r="U27" i="22" s="1"/>
  <c r="Q27" i="22"/>
  <c r="W27" i="22" s="1"/>
  <c r="E28" i="22"/>
  <c r="X28" i="22"/>
  <c r="A29" i="22"/>
  <c r="O29" i="22"/>
  <c r="Q29" i="22"/>
  <c r="X48" i="22"/>
  <c r="X47" i="22"/>
  <c r="X46" i="22"/>
  <c r="X45" i="22"/>
  <c r="X44" i="22"/>
  <c r="X43" i="22"/>
  <c r="X42" i="22"/>
  <c r="X41" i="22"/>
  <c r="X40" i="22"/>
  <c r="X39" i="22"/>
  <c r="X38" i="22"/>
  <c r="X37" i="22"/>
  <c r="X36" i="22"/>
  <c r="X35" i="22"/>
  <c r="X34" i="22"/>
  <c r="X33" i="22"/>
  <c r="X32" i="22"/>
  <c r="X31" i="22"/>
  <c r="X30" i="22"/>
  <c r="X29" i="22"/>
  <c r="A30" i="22"/>
  <c r="O30" i="22"/>
  <c r="Q30" i="22"/>
  <c r="A31" i="22"/>
  <c r="O31" i="22"/>
  <c r="Q31" i="22"/>
  <c r="A32" i="22"/>
  <c r="O32" i="22"/>
  <c r="Q32" i="22"/>
  <c r="A33" i="22"/>
  <c r="O33" i="22"/>
  <c r="Q33" i="22"/>
  <c r="A34" i="22"/>
  <c r="O34" i="22"/>
  <c r="Q34" i="22"/>
  <c r="A35" i="22"/>
  <c r="O35" i="22"/>
  <c r="Q35" i="22"/>
  <c r="A36" i="22"/>
  <c r="O36" i="22"/>
  <c r="Q36" i="22"/>
  <c r="A37" i="22"/>
  <c r="O37" i="22"/>
  <c r="Q37" i="22"/>
  <c r="A38" i="22"/>
  <c r="O38" i="22"/>
  <c r="Q38" i="22"/>
  <c r="A39" i="22"/>
  <c r="O39" i="22"/>
  <c r="Q39" i="22"/>
  <c r="A40" i="22"/>
  <c r="O40" i="22"/>
  <c r="Q40" i="22"/>
  <c r="A41" i="22"/>
  <c r="O41" i="22"/>
  <c r="Q41" i="22"/>
  <c r="A42" i="22"/>
  <c r="O42" i="22"/>
  <c r="Q42" i="22"/>
  <c r="A43" i="22"/>
  <c r="O43" i="22"/>
  <c r="Q43" i="22"/>
  <c r="A44" i="22"/>
  <c r="O44" i="22"/>
  <c r="Q44" i="22"/>
  <c r="A45" i="22"/>
  <c r="A46" i="22"/>
  <c r="A47" i="22"/>
  <c r="A48" i="22"/>
  <c r="O48" i="22"/>
  <c r="U48" i="22" s="1"/>
  <c r="Q48" i="22"/>
  <c r="W48" i="22" s="1"/>
  <c r="E49" i="22"/>
  <c r="X49" i="22"/>
  <c r="A50" i="22"/>
  <c r="O50" i="22"/>
  <c r="Q50" i="22"/>
  <c r="X69" i="22"/>
  <c r="X68" i="22"/>
  <c r="X67" i="22"/>
  <c r="X66" i="22"/>
  <c r="X65" i="22"/>
  <c r="X64" i="22"/>
  <c r="X63" i="22"/>
  <c r="X62" i="22"/>
  <c r="X61" i="22"/>
  <c r="X60" i="22"/>
  <c r="X59" i="22"/>
  <c r="X58" i="22"/>
  <c r="X57" i="22"/>
  <c r="X56" i="22"/>
  <c r="X55" i="22"/>
  <c r="X54" i="22"/>
  <c r="X53" i="22"/>
  <c r="X52" i="22"/>
  <c r="X51" i="22"/>
  <c r="X50" i="22"/>
  <c r="A51" i="22"/>
  <c r="O51" i="22"/>
  <c r="Q51" i="22"/>
  <c r="A52" i="22"/>
  <c r="O52" i="22"/>
  <c r="Q52" i="22"/>
  <c r="A53" i="22"/>
  <c r="O53" i="22"/>
  <c r="Q53" i="22"/>
  <c r="A54" i="22"/>
  <c r="O54" i="22"/>
  <c r="Q54" i="22"/>
  <c r="A55" i="22"/>
  <c r="O55" i="22"/>
  <c r="Q55" i="22"/>
  <c r="A56" i="22"/>
  <c r="O56" i="22"/>
  <c r="Q56" i="22"/>
  <c r="A57" i="22"/>
  <c r="O57" i="22"/>
  <c r="Q57" i="22"/>
  <c r="A58" i="22"/>
  <c r="O58" i="22"/>
  <c r="Q58" i="22"/>
  <c r="A59" i="22"/>
  <c r="O59" i="22"/>
  <c r="Q59" i="22"/>
  <c r="A60" i="22"/>
  <c r="O60" i="22"/>
  <c r="Q60" i="22"/>
  <c r="A61" i="22"/>
  <c r="O61" i="22"/>
  <c r="Q61" i="22"/>
  <c r="A62" i="22"/>
  <c r="O62" i="22"/>
  <c r="Q62" i="22"/>
  <c r="A63" i="22"/>
  <c r="O63" i="22"/>
  <c r="Q63" i="22"/>
  <c r="A64" i="22"/>
  <c r="O64" i="22"/>
  <c r="Q64" i="22"/>
  <c r="A65" i="22"/>
  <c r="O65" i="22"/>
  <c r="Q65" i="22"/>
  <c r="A66" i="22"/>
  <c r="A67" i="22"/>
  <c r="A68" i="22"/>
  <c r="A69" i="22"/>
  <c r="O69" i="22"/>
  <c r="U69" i="22" s="1"/>
  <c r="Q69" i="22"/>
  <c r="W69" i="22" s="1"/>
  <c r="E70" i="22"/>
  <c r="X70" i="22"/>
  <c r="A71" i="22"/>
  <c r="O71" i="22"/>
  <c r="Q71" i="22"/>
  <c r="X90" i="22"/>
  <c r="X89" i="22"/>
  <c r="X88" i="22"/>
  <c r="X87" i="22"/>
  <c r="X86" i="22"/>
  <c r="X85" i="22"/>
  <c r="X84" i="22"/>
  <c r="X83" i="22"/>
  <c r="X82" i="22"/>
  <c r="X81" i="22"/>
  <c r="X80" i="22"/>
  <c r="X79" i="22"/>
  <c r="X78" i="22"/>
  <c r="X77" i="22"/>
  <c r="X76" i="22"/>
  <c r="X75" i="22"/>
  <c r="X74" i="22"/>
  <c r="X73" i="22"/>
  <c r="X72" i="22"/>
  <c r="X71" i="22"/>
  <c r="A72" i="22"/>
  <c r="O72" i="22"/>
  <c r="Q72" i="22"/>
  <c r="A73" i="22"/>
  <c r="O73" i="22"/>
  <c r="Q73" i="22"/>
  <c r="A74" i="22"/>
  <c r="O74" i="22"/>
  <c r="Q74" i="22"/>
  <c r="A75" i="22"/>
  <c r="O75" i="22"/>
  <c r="Q75" i="22"/>
  <c r="A76" i="22"/>
  <c r="O76" i="22"/>
  <c r="Q76" i="22"/>
  <c r="A77" i="22"/>
  <c r="O77" i="22"/>
  <c r="Q77" i="22"/>
  <c r="A78" i="22"/>
  <c r="O78" i="22"/>
  <c r="Q78" i="22"/>
  <c r="A79" i="22"/>
  <c r="O79" i="22"/>
  <c r="Q79" i="22"/>
  <c r="A80" i="22"/>
  <c r="O80" i="22"/>
  <c r="Q80" i="22"/>
  <c r="A81" i="22"/>
  <c r="O81" i="22"/>
  <c r="Q81" i="22"/>
  <c r="A82" i="22"/>
  <c r="O82" i="22"/>
  <c r="Q82" i="22"/>
  <c r="A83" i="22"/>
  <c r="O83" i="22"/>
  <c r="Q83" i="22"/>
  <c r="A84" i="22"/>
  <c r="O84" i="22"/>
  <c r="Q84" i="22"/>
  <c r="A85" i="22"/>
  <c r="O85" i="22"/>
  <c r="Q85" i="22"/>
  <c r="A86" i="22"/>
  <c r="O86" i="22"/>
  <c r="Q86" i="22"/>
  <c r="A87" i="22"/>
  <c r="A88" i="22"/>
  <c r="A89" i="22"/>
  <c r="A90" i="22"/>
  <c r="O90" i="22"/>
  <c r="U90" i="22" s="1"/>
  <c r="Q90" i="22"/>
  <c r="W90" i="22" s="1"/>
  <c r="E91" i="22"/>
  <c r="X91" i="22"/>
  <c r="A92" i="22"/>
  <c r="O92" i="22"/>
  <c r="Q92" i="22"/>
  <c r="X111" i="22"/>
  <c r="X110" i="22"/>
  <c r="X109" i="22"/>
  <c r="X108" i="22"/>
  <c r="X107" i="22"/>
  <c r="X106" i="22"/>
  <c r="X105" i="22"/>
  <c r="X104" i="22"/>
  <c r="X103" i="22"/>
  <c r="X102" i="22"/>
  <c r="X101" i="22"/>
  <c r="X100" i="22"/>
  <c r="X99" i="22"/>
  <c r="X98" i="22"/>
  <c r="X97" i="22"/>
  <c r="X96" i="22"/>
  <c r="X95" i="22"/>
  <c r="X94" i="22"/>
  <c r="X93" i="22"/>
  <c r="X92" i="22"/>
  <c r="A93" i="22"/>
  <c r="O93" i="22"/>
  <c r="Q93" i="22"/>
  <c r="A94" i="22"/>
  <c r="O94" i="22"/>
  <c r="Q94" i="22"/>
  <c r="A95" i="22"/>
  <c r="O95" i="22"/>
  <c r="Q95" i="22"/>
  <c r="A96" i="22"/>
  <c r="O96" i="22"/>
  <c r="Q96" i="22"/>
  <c r="A97" i="22"/>
  <c r="O97" i="22"/>
  <c r="Q97" i="22"/>
  <c r="A98" i="22"/>
  <c r="O98" i="22"/>
  <c r="Q98" i="22"/>
  <c r="A99" i="22"/>
  <c r="O99" i="22"/>
  <c r="Q99" i="22"/>
  <c r="A100" i="22"/>
  <c r="O100" i="22"/>
  <c r="Q100" i="22"/>
  <c r="A101" i="22"/>
  <c r="O101" i="22"/>
  <c r="Q101" i="22"/>
  <c r="A102" i="22"/>
  <c r="O102" i="22"/>
  <c r="Q102" i="22"/>
  <c r="A103" i="22"/>
  <c r="O103" i="22"/>
  <c r="Q103" i="22"/>
  <c r="A104" i="22"/>
  <c r="O104" i="22"/>
  <c r="Q104" i="22"/>
  <c r="A105" i="22"/>
  <c r="O105" i="22"/>
  <c r="Q105" i="22"/>
  <c r="A106" i="22"/>
  <c r="O106" i="22"/>
  <c r="Q106" i="22"/>
  <c r="A107" i="22"/>
  <c r="O107" i="22"/>
  <c r="Q107" i="22"/>
  <c r="A108" i="22"/>
  <c r="A109" i="22"/>
  <c r="A110" i="22"/>
  <c r="A111" i="22"/>
  <c r="O111" i="22"/>
  <c r="U111" i="22" s="1"/>
  <c r="Q111" i="22"/>
  <c r="W111" i="22" s="1"/>
  <c r="E112" i="22"/>
  <c r="X112" i="22"/>
  <c r="A113" i="22"/>
  <c r="O113" i="22"/>
  <c r="Q113" i="22"/>
  <c r="X132" i="22"/>
  <c r="X131" i="22"/>
  <c r="X130" i="22"/>
  <c r="X129" i="22"/>
  <c r="X128" i="22"/>
  <c r="X127" i="22"/>
  <c r="X126" i="22"/>
  <c r="X125" i="22"/>
  <c r="X124" i="22"/>
  <c r="X123" i="22"/>
  <c r="X122" i="22"/>
  <c r="X121" i="22"/>
  <c r="X120" i="22"/>
  <c r="X119" i="22"/>
  <c r="X118" i="22"/>
  <c r="X117" i="22"/>
  <c r="X116" i="22"/>
  <c r="X115" i="22"/>
  <c r="X114" i="22"/>
  <c r="X113" i="22"/>
  <c r="A114" i="22"/>
  <c r="O114" i="22"/>
  <c r="Q114" i="22"/>
  <c r="A115" i="22"/>
  <c r="O115" i="22"/>
  <c r="Q115" i="22"/>
  <c r="A116" i="22"/>
  <c r="O116" i="22"/>
  <c r="Q116" i="22"/>
  <c r="A117" i="22"/>
  <c r="O117" i="22"/>
  <c r="Q117" i="22"/>
  <c r="A118" i="22"/>
  <c r="O118" i="22"/>
  <c r="Q118" i="22"/>
  <c r="A119" i="22"/>
  <c r="O119" i="22"/>
  <c r="Q119" i="22"/>
  <c r="A120" i="22"/>
  <c r="O120" i="22"/>
  <c r="Q120" i="22"/>
  <c r="A121" i="22"/>
  <c r="O121" i="22"/>
  <c r="Q121" i="22"/>
  <c r="A122" i="22"/>
  <c r="O122" i="22"/>
  <c r="Q122" i="22"/>
  <c r="A123" i="22"/>
  <c r="O123" i="22"/>
  <c r="Q123" i="22"/>
  <c r="A124" i="22"/>
  <c r="O124" i="22"/>
  <c r="Q124" i="22"/>
  <c r="A125" i="22"/>
  <c r="O125" i="22"/>
  <c r="Q125" i="22"/>
  <c r="A126" i="22"/>
  <c r="O126" i="22"/>
  <c r="Q126" i="22"/>
  <c r="A127" i="22"/>
  <c r="O127" i="22"/>
  <c r="Q127" i="22"/>
  <c r="A128" i="22"/>
  <c r="O128" i="22"/>
  <c r="Q128" i="22"/>
  <c r="A129" i="22"/>
  <c r="A130" i="22"/>
  <c r="A131" i="22"/>
  <c r="A132" i="22"/>
  <c r="O132" i="22"/>
  <c r="U132" i="22" s="1"/>
  <c r="Q132" i="22"/>
  <c r="W132" i="22" s="1"/>
  <c r="E133" i="22"/>
  <c r="X133" i="22"/>
  <c r="A134" i="22"/>
  <c r="O134" i="22"/>
  <c r="Q134" i="22"/>
  <c r="X153" i="22"/>
  <c r="X152" i="22"/>
  <c r="X151" i="22"/>
  <c r="X150" i="22"/>
  <c r="X149" i="22"/>
  <c r="X148" i="22"/>
  <c r="X147" i="22"/>
  <c r="X146" i="22"/>
  <c r="X145" i="22"/>
  <c r="X144" i="22"/>
  <c r="X143" i="22"/>
  <c r="X142" i="22"/>
  <c r="X141" i="22"/>
  <c r="X140" i="22"/>
  <c r="X139" i="22"/>
  <c r="X138" i="22"/>
  <c r="X137" i="22"/>
  <c r="X136" i="22"/>
  <c r="X135" i="22"/>
  <c r="X134" i="22"/>
  <c r="A135" i="22"/>
  <c r="O135" i="22"/>
  <c r="Q135" i="22"/>
  <c r="A136" i="22"/>
  <c r="O136" i="22"/>
  <c r="Q136" i="22"/>
  <c r="A137" i="22"/>
  <c r="O137" i="22"/>
  <c r="Q137" i="22"/>
  <c r="A138" i="22"/>
  <c r="O138" i="22"/>
  <c r="Q138" i="22"/>
  <c r="A139" i="22"/>
  <c r="O139" i="22"/>
  <c r="Q139" i="22"/>
  <c r="A140" i="22"/>
  <c r="O140" i="22"/>
  <c r="Q140" i="22"/>
  <c r="A141" i="22"/>
  <c r="O141" i="22"/>
  <c r="Q141" i="22"/>
  <c r="A142" i="22"/>
  <c r="O142" i="22"/>
  <c r="Q142" i="22"/>
  <c r="A143" i="22"/>
  <c r="O143" i="22"/>
  <c r="Q143" i="22"/>
  <c r="A144" i="22"/>
  <c r="O144" i="22"/>
  <c r="Q144" i="22"/>
  <c r="A145" i="22"/>
  <c r="O145" i="22"/>
  <c r="Q145" i="22"/>
  <c r="A146" i="22"/>
  <c r="O146" i="22"/>
  <c r="Q146" i="22"/>
  <c r="A147" i="22"/>
  <c r="O147" i="22"/>
  <c r="Q147" i="22"/>
  <c r="A148" i="22"/>
  <c r="O148" i="22"/>
  <c r="Q148" i="22"/>
  <c r="A149" i="22"/>
  <c r="O149" i="22"/>
  <c r="Q149" i="22"/>
  <c r="A150" i="22"/>
  <c r="A151" i="22"/>
  <c r="A152" i="22"/>
  <c r="A153" i="22"/>
  <c r="O153" i="22"/>
  <c r="U153" i="22" s="1"/>
  <c r="Q153" i="22"/>
  <c r="W153" i="22" s="1"/>
  <c r="E154" i="22"/>
  <c r="X154" i="22"/>
  <c r="A155" i="22"/>
  <c r="O155" i="22"/>
  <c r="Q155" i="22"/>
  <c r="X174" i="22"/>
  <c r="X173" i="22"/>
  <c r="X172" i="22"/>
  <c r="X171" i="22"/>
  <c r="X170" i="22"/>
  <c r="X169" i="22"/>
  <c r="X168" i="22"/>
  <c r="X167" i="22"/>
  <c r="X166" i="22"/>
  <c r="X165" i="22"/>
  <c r="X164" i="22"/>
  <c r="X163" i="22"/>
  <c r="X162" i="22"/>
  <c r="X161" i="22"/>
  <c r="X160" i="22"/>
  <c r="X159" i="22"/>
  <c r="X158" i="22"/>
  <c r="X157" i="22"/>
  <c r="X156" i="22"/>
  <c r="X155" i="22"/>
  <c r="A156" i="22"/>
  <c r="O156" i="22"/>
  <c r="Q156" i="22"/>
  <c r="A157" i="22"/>
  <c r="O157" i="22"/>
  <c r="Q157" i="22"/>
  <c r="A158" i="22"/>
  <c r="O158" i="22"/>
  <c r="Q158" i="22"/>
  <c r="A159" i="22"/>
  <c r="O159" i="22"/>
  <c r="Q159" i="22"/>
  <c r="A160" i="22"/>
  <c r="O160" i="22"/>
  <c r="Q160" i="22"/>
  <c r="A161" i="22"/>
  <c r="O161" i="22"/>
  <c r="Q161" i="22"/>
  <c r="A162" i="22"/>
  <c r="O162" i="22"/>
  <c r="Q162" i="22"/>
  <c r="A163" i="22"/>
  <c r="O163" i="22"/>
  <c r="Q163" i="22"/>
  <c r="A164" i="22"/>
  <c r="O164" i="22"/>
  <c r="Q164" i="22"/>
  <c r="A165" i="22"/>
  <c r="O165" i="22"/>
  <c r="Q165" i="22"/>
  <c r="A166" i="22"/>
  <c r="O166" i="22"/>
  <c r="Q166" i="22"/>
  <c r="A167" i="22"/>
  <c r="O167" i="22"/>
  <c r="Q167" i="22"/>
  <c r="A168" i="22"/>
  <c r="O168" i="22"/>
  <c r="Q168" i="22"/>
  <c r="A169" i="22"/>
  <c r="O169" i="22"/>
  <c r="Q169" i="22"/>
  <c r="A170" i="22"/>
  <c r="O170" i="22"/>
  <c r="Q170" i="22"/>
  <c r="A171" i="22"/>
  <c r="A172" i="22"/>
  <c r="A173" i="22"/>
  <c r="A174" i="22"/>
  <c r="O174" i="22"/>
  <c r="U174" i="22" s="1"/>
  <c r="Q174" i="22"/>
  <c r="W174" i="22" s="1"/>
  <c r="E175" i="22"/>
  <c r="X175" i="22"/>
  <c r="A176" i="22"/>
  <c r="O176" i="22"/>
  <c r="Q176" i="22"/>
  <c r="X195" i="22"/>
  <c r="X194" i="22"/>
  <c r="X193" i="22"/>
  <c r="X192" i="22"/>
  <c r="X191" i="22"/>
  <c r="X190" i="22"/>
  <c r="X189" i="22"/>
  <c r="X188" i="22"/>
  <c r="X187" i="22"/>
  <c r="X186" i="22"/>
  <c r="X185" i="22"/>
  <c r="X184" i="22"/>
  <c r="X183" i="22"/>
  <c r="X182" i="22"/>
  <c r="X181" i="22"/>
  <c r="X180" i="22"/>
  <c r="X179" i="22"/>
  <c r="X178" i="22"/>
  <c r="X177" i="22"/>
  <c r="X176" i="22"/>
  <c r="A177" i="22"/>
  <c r="O177" i="22"/>
  <c r="Q177" i="22"/>
  <c r="A178" i="22"/>
  <c r="O178" i="22"/>
  <c r="Q178" i="22"/>
  <c r="A179" i="22"/>
  <c r="O179" i="22"/>
  <c r="Q179" i="22"/>
  <c r="A180" i="22"/>
  <c r="O180" i="22"/>
  <c r="Q180" i="22"/>
  <c r="A181" i="22"/>
  <c r="O181" i="22"/>
  <c r="Q181" i="22"/>
  <c r="A182" i="22"/>
  <c r="O182" i="22"/>
  <c r="Q182" i="22"/>
  <c r="A183" i="22"/>
  <c r="O183" i="22"/>
  <c r="Q183" i="22"/>
  <c r="A184" i="22"/>
  <c r="O184" i="22"/>
  <c r="Q184" i="22"/>
  <c r="A185" i="22"/>
  <c r="O185" i="22"/>
  <c r="Q185" i="22"/>
  <c r="A186" i="22"/>
  <c r="O186" i="22"/>
  <c r="Q186" i="22"/>
  <c r="A187" i="22"/>
  <c r="O187" i="22"/>
  <c r="Q187" i="22"/>
  <c r="A188" i="22"/>
  <c r="O188" i="22"/>
  <c r="Q188" i="22"/>
  <c r="A189" i="22"/>
  <c r="O189" i="22"/>
  <c r="Q189" i="22"/>
  <c r="A190" i="22"/>
  <c r="O190" i="22"/>
  <c r="Q190" i="22"/>
  <c r="A191" i="22"/>
  <c r="O191" i="22"/>
  <c r="Q191" i="22"/>
  <c r="A192" i="22"/>
  <c r="A193" i="22"/>
  <c r="A194" i="22"/>
  <c r="A195" i="22"/>
  <c r="O195" i="22"/>
  <c r="U195" i="22" s="1"/>
  <c r="Q195" i="22"/>
  <c r="W195" i="22" s="1"/>
  <c r="E196" i="22"/>
  <c r="X196" i="22"/>
  <c r="A197" i="22"/>
  <c r="O197" i="22"/>
  <c r="Q197" i="22"/>
  <c r="X216" i="22"/>
  <c r="X215" i="22"/>
  <c r="X214" i="22"/>
  <c r="X213" i="22"/>
  <c r="X212" i="22"/>
  <c r="X211" i="22"/>
  <c r="X210" i="22"/>
  <c r="X209" i="22"/>
  <c r="X208" i="22"/>
  <c r="X207" i="22"/>
  <c r="X206" i="22"/>
  <c r="X205" i="22"/>
  <c r="X204" i="22"/>
  <c r="X203" i="22"/>
  <c r="X202" i="22"/>
  <c r="X201" i="22"/>
  <c r="X200" i="22"/>
  <c r="X199" i="22"/>
  <c r="X198" i="22"/>
  <c r="X197" i="22"/>
  <c r="A198" i="22"/>
  <c r="O198" i="22"/>
  <c r="Q198" i="22"/>
  <c r="A199" i="22"/>
  <c r="O199" i="22"/>
  <c r="Q199" i="22"/>
  <c r="A200" i="22"/>
  <c r="O200" i="22"/>
  <c r="Q200" i="22"/>
  <c r="A201" i="22"/>
  <c r="O201" i="22"/>
  <c r="Q201" i="22"/>
  <c r="A202" i="22"/>
  <c r="O202" i="22"/>
  <c r="Q202" i="22"/>
  <c r="A203" i="22"/>
  <c r="O203" i="22"/>
  <c r="Q203" i="22"/>
  <c r="A204" i="22"/>
  <c r="O204" i="22"/>
  <c r="Q204" i="22"/>
  <c r="A205" i="22"/>
  <c r="O205" i="22"/>
  <c r="Q205" i="22"/>
  <c r="A206" i="22"/>
  <c r="O206" i="22"/>
  <c r="Q206" i="22"/>
  <c r="A207" i="22"/>
  <c r="O207" i="22"/>
  <c r="Q207" i="22"/>
  <c r="A208" i="22"/>
  <c r="O208" i="22"/>
  <c r="Q208" i="22"/>
  <c r="A209" i="22"/>
  <c r="O209" i="22"/>
  <c r="Q209" i="22"/>
  <c r="A210" i="22"/>
  <c r="O210" i="22"/>
  <c r="Q210" i="22"/>
  <c r="A211" i="22"/>
  <c r="O211" i="22"/>
  <c r="Q211" i="22"/>
  <c r="A212" i="22"/>
  <c r="O212" i="22"/>
  <c r="Q212" i="22"/>
  <c r="A213" i="22"/>
  <c r="A214" i="22"/>
  <c r="A215" i="22"/>
  <c r="A216" i="22"/>
  <c r="O216" i="22"/>
  <c r="U216" i="22" s="1"/>
  <c r="Q216" i="22"/>
  <c r="W216" i="22" s="1"/>
  <c r="E217" i="22"/>
  <c r="X217" i="22"/>
  <c r="A218" i="22"/>
  <c r="O218" i="22"/>
  <c r="Q218" i="22"/>
  <c r="X237" i="22"/>
  <c r="X236" i="22"/>
  <c r="X235" i="22"/>
  <c r="X234" i="22"/>
  <c r="X233" i="22"/>
  <c r="X232" i="22"/>
  <c r="X231" i="22"/>
  <c r="X230" i="22"/>
  <c r="X229" i="22"/>
  <c r="X228" i="22"/>
  <c r="X227" i="22"/>
  <c r="X226" i="22"/>
  <c r="X225" i="22"/>
  <c r="X224" i="22"/>
  <c r="X223" i="22"/>
  <c r="X222" i="22"/>
  <c r="X221" i="22"/>
  <c r="X220" i="22"/>
  <c r="X219" i="22"/>
  <c r="X218" i="22"/>
  <c r="A219" i="22"/>
  <c r="O219" i="22"/>
  <c r="Q219" i="22"/>
  <c r="A220" i="22"/>
  <c r="O220" i="22"/>
  <c r="Q220" i="22"/>
  <c r="A221" i="22"/>
  <c r="O221" i="22"/>
  <c r="Q221" i="22"/>
  <c r="A222" i="22"/>
  <c r="O222" i="22"/>
  <c r="Q222" i="22"/>
  <c r="A223" i="22"/>
  <c r="O223" i="22"/>
  <c r="Q223" i="22"/>
  <c r="A224" i="22"/>
  <c r="O224" i="22"/>
  <c r="Q224" i="22"/>
  <c r="A225" i="22"/>
  <c r="O225" i="22"/>
  <c r="Q225" i="22"/>
  <c r="A226" i="22"/>
  <c r="O226" i="22"/>
  <c r="Q226" i="22"/>
  <c r="A227" i="22"/>
  <c r="O227" i="22"/>
  <c r="Q227" i="22"/>
  <c r="A228" i="22"/>
  <c r="O228" i="22"/>
  <c r="Q228" i="22"/>
  <c r="A229" i="22"/>
  <c r="O229" i="22"/>
  <c r="Q229" i="22"/>
  <c r="A230" i="22"/>
  <c r="O230" i="22"/>
  <c r="Q230" i="22"/>
  <c r="A231" i="22"/>
  <c r="O231" i="22"/>
  <c r="Q231" i="22"/>
  <c r="A232" i="22"/>
  <c r="O232" i="22"/>
  <c r="Q232" i="22"/>
  <c r="A233" i="22"/>
  <c r="O233" i="22"/>
  <c r="Q233" i="22"/>
  <c r="A234" i="22"/>
  <c r="A235" i="22"/>
  <c r="A236" i="22"/>
  <c r="A237" i="22"/>
  <c r="O237" i="22"/>
  <c r="U237" i="22" s="1"/>
  <c r="Q237" i="22"/>
  <c r="W237" i="22" s="1"/>
  <c r="E238" i="22"/>
  <c r="X238" i="22"/>
  <c r="A239" i="22"/>
  <c r="O239" i="22"/>
  <c r="Q239" i="22"/>
  <c r="X258" i="22"/>
  <c r="X257" i="22"/>
  <c r="X256" i="22"/>
  <c r="X255" i="22"/>
  <c r="X254" i="22"/>
  <c r="X253" i="22"/>
  <c r="X252" i="22"/>
  <c r="X251" i="22"/>
  <c r="X250" i="22"/>
  <c r="X249" i="22"/>
  <c r="X248" i="22"/>
  <c r="X247" i="22"/>
  <c r="X246" i="22"/>
  <c r="X245" i="22"/>
  <c r="X244" i="22"/>
  <c r="X243" i="22"/>
  <c r="X242" i="22"/>
  <c r="X241" i="22"/>
  <c r="X240" i="22"/>
  <c r="X239" i="22"/>
  <c r="A240" i="22"/>
  <c r="O240" i="22"/>
  <c r="Q240" i="22"/>
  <c r="A241" i="22"/>
  <c r="O241" i="22"/>
  <c r="Q241" i="22"/>
  <c r="A242" i="22"/>
  <c r="O242" i="22"/>
  <c r="Q242" i="22"/>
  <c r="A243" i="22"/>
  <c r="O243" i="22"/>
  <c r="Q243" i="22"/>
  <c r="A244" i="22"/>
  <c r="O244" i="22"/>
  <c r="Q244" i="22"/>
  <c r="A245" i="22"/>
  <c r="O245" i="22"/>
  <c r="Q245" i="22"/>
  <c r="A246" i="22"/>
  <c r="O246" i="22"/>
  <c r="Q246" i="22"/>
  <c r="A247" i="22"/>
  <c r="O247" i="22"/>
  <c r="Q247" i="22"/>
  <c r="A248" i="22"/>
  <c r="O248" i="22"/>
  <c r="Q248" i="22"/>
  <c r="A249" i="22"/>
  <c r="O249" i="22"/>
  <c r="Q249" i="22"/>
  <c r="A250" i="22"/>
  <c r="O250" i="22"/>
  <c r="Q250" i="22"/>
  <c r="A251" i="22"/>
  <c r="O251" i="22"/>
  <c r="Q251" i="22"/>
  <c r="A252" i="22"/>
  <c r="O252" i="22"/>
  <c r="Q252" i="22"/>
  <c r="A253" i="22"/>
  <c r="O253" i="22"/>
  <c r="Q253" i="22"/>
  <c r="A254" i="22"/>
  <c r="O254" i="22"/>
  <c r="Q254" i="22"/>
  <c r="A255" i="22"/>
  <c r="A256" i="22"/>
  <c r="A257" i="22"/>
  <c r="A258" i="22"/>
  <c r="O258" i="22"/>
  <c r="U258" i="22" s="1"/>
  <c r="Q258" i="22"/>
  <c r="W258" i="22" s="1"/>
  <c r="E259" i="22"/>
  <c r="X259" i="22"/>
  <c r="A260" i="22"/>
  <c r="O260" i="22"/>
  <c r="Q260" i="22"/>
  <c r="X279" i="22"/>
  <c r="X278" i="22"/>
  <c r="X277" i="22"/>
  <c r="X276" i="22"/>
  <c r="X275" i="22"/>
  <c r="X274" i="22"/>
  <c r="X273" i="22"/>
  <c r="X272" i="22"/>
  <c r="X271" i="22"/>
  <c r="X270" i="22"/>
  <c r="X269" i="22"/>
  <c r="X268" i="22"/>
  <c r="X267" i="22"/>
  <c r="X266" i="22"/>
  <c r="X265" i="22"/>
  <c r="X264" i="22"/>
  <c r="X263" i="22"/>
  <c r="X262" i="22"/>
  <c r="X261" i="22"/>
  <c r="X260" i="22"/>
  <c r="A261" i="22"/>
  <c r="O261" i="22"/>
  <c r="Q261" i="22"/>
  <c r="A262" i="22"/>
  <c r="O262" i="22"/>
  <c r="Q262" i="22"/>
  <c r="A263" i="22"/>
  <c r="O263" i="22"/>
  <c r="Q263" i="22"/>
  <c r="A264" i="22"/>
  <c r="O264" i="22"/>
  <c r="Q264" i="22"/>
  <c r="A265" i="22"/>
  <c r="O265" i="22"/>
  <c r="Q265" i="22"/>
  <c r="A266" i="22"/>
  <c r="O266" i="22"/>
  <c r="Q266" i="22"/>
  <c r="A267" i="22"/>
  <c r="O267" i="22"/>
  <c r="Q267" i="22"/>
  <c r="A268" i="22"/>
  <c r="O268" i="22"/>
  <c r="Q268" i="22"/>
  <c r="A269" i="22"/>
  <c r="O269" i="22"/>
  <c r="Q269" i="22"/>
  <c r="A270" i="22"/>
  <c r="O270" i="22"/>
  <c r="Q270" i="22"/>
  <c r="A271" i="22"/>
  <c r="O271" i="22"/>
  <c r="Q271" i="22"/>
  <c r="A272" i="22"/>
  <c r="O272" i="22"/>
  <c r="Q272" i="22"/>
  <c r="A273" i="22"/>
  <c r="O273" i="22"/>
  <c r="Q273" i="22"/>
  <c r="A274" i="22"/>
  <c r="O274" i="22"/>
  <c r="Q274" i="22"/>
  <c r="A275" i="22"/>
  <c r="O275" i="22"/>
  <c r="Q275" i="22"/>
  <c r="A276" i="22"/>
  <c r="A277" i="22"/>
  <c r="A278" i="22"/>
  <c r="A279" i="22"/>
  <c r="O279" i="22"/>
  <c r="U279" i="22" s="1"/>
  <c r="Q279" i="22"/>
  <c r="W279" i="22" s="1"/>
  <c r="E280" i="22"/>
  <c r="X280" i="22"/>
  <c r="A281" i="22"/>
  <c r="O281" i="22"/>
  <c r="Q281" i="22"/>
  <c r="X300" i="22"/>
  <c r="X299" i="22"/>
  <c r="X298" i="22"/>
  <c r="X297" i="22"/>
  <c r="X296" i="22"/>
  <c r="X295" i="22"/>
  <c r="X294" i="22"/>
  <c r="X293" i="22"/>
  <c r="X292" i="22"/>
  <c r="X291" i="22"/>
  <c r="X290" i="22"/>
  <c r="X289" i="22"/>
  <c r="X288" i="22"/>
  <c r="X287" i="22"/>
  <c r="X286" i="22"/>
  <c r="X285" i="22"/>
  <c r="X284" i="22"/>
  <c r="X283" i="22"/>
  <c r="X282" i="22"/>
  <c r="X281" i="22"/>
  <c r="A282" i="22"/>
  <c r="O282" i="22"/>
  <c r="Q282" i="22"/>
  <c r="A283" i="22"/>
  <c r="O283" i="22"/>
  <c r="Q283" i="22"/>
  <c r="A284" i="22"/>
  <c r="O284" i="22"/>
  <c r="Q284" i="22"/>
  <c r="A285" i="22"/>
  <c r="O285" i="22"/>
  <c r="Q285" i="22"/>
  <c r="A286" i="22"/>
  <c r="O286" i="22"/>
  <c r="Q286" i="22"/>
  <c r="A287" i="22"/>
  <c r="O287" i="22"/>
  <c r="Q287" i="22"/>
  <c r="A288" i="22"/>
  <c r="O288" i="22"/>
  <c r="Q288" i="22"/>
  <c r="A289" i="22"/>
  <c r="O289" i="22"/>
  <c r="Q289" i="22"/>
  <c r="A290" i="22"/>
  <c r="O290" i="22"/>
  <c r="Q290" i="22"/>
  <c r="A291" i="22"/>
  <c r="O291" i="22"/>
  <c r="Q291" i="22"/>
  <c r="A292" i="22"/>
  <c r="O292" i="22"/>
  <c r="Q292" i="22"/>
  <c r="A293" i="22"/>
  <c r="O293" i="22"/>
  <c r="Q293" i="22"/>
  <c r="A294" i="22"/>
  <c r="O294" i="22"/>
  <c r="Q294" i="22"/>
  <c r="A295" i="22"/>
  <c r="O295" i="22"/>
  <c r="Q295" i="22"/>
  <c r="A296" i="22"/>
  <c r="O296" i="22"/>
  <c r="Q296" i="22"/>
  <c r="A297" i="22"/>
  <c r="A298" i="22"/>
  <c r="A299" i="22"/>
  <c r="A300" i="22"/>
  <c r="O300" i="22"/>
  <c r="U300" i="22" s="1"/>
  <c r="Q300" i="22"/>
  <c r="W300" i="22" s="1"/>
  <c r="E301" i="22"/>
  <c r="X301" i="22"/>
  <c r="A302" i="22"/>
  <c r="O302" i="22"/>
  <c r="Q302" i="22"/>
  <c r="X321" i="22"/>
  <c r="X320" i="22"/>
  <c r="X319" i="22"/>
  <c r="X318" i="22"/>
  <c r="X317" i="22"/>
  <c r="X316" i="22"/>
  <c r="X315" i="22"/>
  <c r="X314" i="22"/>
  <c r="X313" i="22"/>
  <c r="X312" i="22"/>
  <c r="X311" i="22"/>
  <c r="X310" i="22"/>
  <c r="X309" i="22"/>
  <c r="X308" i="22"/>
  <c r="X307" i="22"/>
  <c r="X306" i="22"/>
  <c r="X305" i="22"/>
  <c r="X304" i="22"/>
  <c r="X303" i="22"/>
  <c r="X302" i="22"/>
  <c r="A303" i="22"/>
  <c r="O303" i="22"/>
  <c r="Q303" i="22"/>
  <c r="A304" i="22"/>
  <c r="O304" i="22"/>
  <c r="Q304" i="22"/>
  <c r="A305" i="22"/>
  <c r="O305" i="22"/>
  <c r="Q305" i="22"/>
  <c r="A306" i="22"/>
  <c r="O306" i="22"/>
  <c r="Q306" i="22"/>
  <c r="A307" i="22"/>
  <c r="O307" i="22"/>
  <c r="Q307" i="22"/>
  <c r="A308" i="22"/>
  <c r="O308" i="22"/>
  <c r="Q308" i="22"/>
  <c r="A309" i="22"/>
  <c r="O309" i="22"/>
  <c r="Q309" i="22"/>
  <c r="A310" i="22"/>
  <c r="O310" i="22"/>
  <c r="Q310" i="22"/>
  <c r="A311" i="22"/>
  <c r="O311" i="22"/>
  <c r="Q311" i="22"/>
  <c r="A312" i="22"/>
  <c r="O312" i="22"/>
  <c r="Q312" i="22"/>
  <c r="A313" i="22"/>
  <c r="O313" i="22"/>
  <c r="Q313" i="22"/>
  <c r="A314" i="22"/>
  <c r="O314" i="22"/>
  <c r="Q314" i="22"/>
  <c r="A315" i="22"/>
  <c r="O315" i="22"/>
  <c r="Q315" i="22"/>
  <c r="A316" i="22"/>
  <c r="O316" i="22"/>
  <c r="Q316" i="22"/>
  <c r="A317" i="22"/>
  <c r="O317" i="22"/>
  <c r="Q317" i="22"/>
  <c r="A318" i="22"/>
  <c r="A319" i="22"/>
  <c r="A320" i="22"/>
  <c r="A321" i="22"/>
  <c r="O321" i="22"/>
  <c r="U321" i="22" s="1"/>
  <c r="Q321" i="22"/>
  <c r="W321" i="22" s="1"/>
  <c r="E322" i="22"/>
  <c r="X322" i="22"/>
  <c r="A323" i="22"/>
  <c r="O323" i="22"/>
  <c r="Q323" i="22"/>
  <c r="X342" i="22"/>
  <c r="X341" i="22"/>
  <c r="X340" i="22"/>
  <c r="X339" i="22"/>
  <c r="X338" i="22"/>
  <c r="X337" i="22"/>
  <c r="X336" i="22"/>
  <c r="X335" i="22"/>
  <c r="X334" i="22"/>
  <c r="X333" i="22"/>
  <c r="X332" i="22"/>
  <c r="X331" i="22"/>
  <c r="X330" i="22"/>
  <c r="X329" i="22"/>
  <c r="X328" i="22"/>
  <c r="X327" i="22"/>
  <c r="X326" i="22"/>
  <c r="X325" i="22"/>
  <c r="X324" i="22"/>
  <c r="X323" i="22"/>
  <c r="A324" i="22"/>
  <c r="O324" i="22"/>
  <c r="Q324" i="22"/>
  <c r="A325" i="22"/>
  <c r="O325" i="22"/>
  <c r="Q325" i="22"/>
  <c r="A326" i="22"/>
  <c r="O326" i="22"/>
  <c r="Q326" i="22"/>
  <c r="A327" i="22"/>
  <c r="O327" i="22"/>
  <c r="Q327" i="22"/>
  <c r="A328" i="22"/>
  <c r="O328" i="22"/>
  <c r="Q328" i="22"/>
  <c r="A329" i="22"/>
  <c r="O329" i="22"/>
  <c r="Q329" i="22"/>
  <c r="A330" i="22"/>
  <c r="O330" i="22"/>
  <c r="Q330" i="22"/>
  <c r="A331" i="22"/>
  <c r="O331" i="22"/>
  <c r="Q331" i="22"/>
  <c r="A332" i="22"/>
  <c r="O332" i="22"/>
  <c r="Q332" i="22"/>
  <c r="A333" i="22"/>
  <c r="O333" i="22"/>
  <c r="Q333" i="22"/>
  <c r="A334" i="22"/>
  <c r="O334" i="22"/>
  <c r="Q334" i="22"/>
  <c r="A335" i="22"/>
  <c r="O335" i="22"/>
  <c r="Q335" i="22"/>
  <c r="A336" i="22"/>
  <c r="O336" i="22"/>
  <c r="Q336" i="22"/>
  <c r="A337" i="22"/>
  <c r="O337" i="22"/>
  <c r="Q337" i="22"/>
  <c r="A338" i="22"/>
  <c r="O338" i="22"/>
  <c r="Q338" i="22"/>
  <c r="A339" i="22"/>
  <c r="A340" i="22"/>
  <c r="A341" i="22"/>
  <c r="A342" i="22"/>
  <c r="O342" i="22"/>
  <c r="U342" i="22" s="1"/>
  <c r="Q342" i="22"/>
  <c r="W342" i="22" s="1"/>
  <c r="E343" i="22"/>
  <c r="X343" i="22"/>
  <c r="A344" i="22"/>
  <c r="O344" i="22"/>
  <c r="Q344" i="22"/>
  <c r="X363" i="22"/>
  <c r="X362" i="22"/>
  <c r="X361" i="22"/>
  <c r="X360" i="22"/>
  <c r="X359" i="22"/>
  <c r="X358" i="22"/>
  <c r="X357" i="22"/>
  <c r="X356" i="22"/>
  <c r="X355" i="22"/>
  <c r="X354" i="22"/>
  <c r="X353" i="22"/>
  <c r="X352" i="22"/>
  <c r="X351" i="22"/>
  <c r="X350" i="22"/>
  <c r="X349" i="22"/>
  <c r="X348" i="22"/>
  <c r="X347" i="22"/>
  <c r="X346" i="22"/>
  <c r="X345" i="22"/>
  <c r="X344" i="22"/>
  <c r="A345" i="22"/>
  <c r="O345" i="22"/>
  <c r="Q345" i="22"/>
  <c r="A346" i="22"/>
  <c r="O346" i="22"/>
  <c r="Q346" i="22"/>
  <c r="A347" i="22"/>
  <c r="O347" i="22"/>
  <c r="Q347" i="22"/>
  <c r="A348" i="22"/>
  <c r="O348" i="22"/>
  <c r="Q348" i="22"/>
  <c r="A349" i="22"/>
  <c r="O349" i="22"/>
  <c r="Q349" i="22"/>
  <c r="A350" i="22"/>
  <c r="O350" i="22"/>
  <c r="Q350" i="22"/>
  <c r="A351" i="22"/>
  <c r="O351" i="22"/>
  <c r="Q351" i="22"/>
  <c r="A352" i="22"/>
  <c r="O352" i="22"/>
  <c r="Q352" i="22"/>
  <c r="A353" i="22"/>
  <c r="O353" i="22"/>
  <c r="Q353" i="22"/>
  <c r="A354" i="22"/>
  <c r="O354" i="22"/>
  <c r="Q354" i="22"/>
  <c r="A355" i="22"/>
  <c r="O355" i="22"/>
  <c r="Q355" i="22"/>
  <c r="A356" i="22"/>
  <c r="O356" i="22"/>
  <c r="Q356" i="22"/>
  <c r="A357" i="22"/>
  <c r="O357" i="22"/>
  <c r="Q357" i="22"/>
  <c r="A358" i="22"/>
  <c r="O358" i="22"/>
  <c r="Q358" i="22"/>
  <c r="A359" i="22"/>
  <c r="O359" i="22"/>
  <c r="Q359" i="22"/>
  <c r="A360" i="22"/>
  <c r="A361" i="22"/>
  <c r="A362" i="22"/>
  <c r="A363" i="22"/>
  <c r="O363" i="22"/>
  <c r="U363" i="22" s="1"/>
  <c r="Q363" i="22"/>
  <c r="W363" i="22" s="1"/>
  <c r="E364" i="22"/>
  <c r="X364" i="22"/>
  <c r="A365" i="22"/>
  <c r="O365" i="22"/>
  <c r="Q365" i="22"/>
  <c r="X384" i="22"/>
  <c r="X383" i="22"/>
  <c r="X382" i="22"/>
  <c r="X381" i="22"/>
  <c r="X380" i="22"/>
  <c r="X379" i="22"/>
  <c r="X378" i="22"/>
  <c r="X377" i="22"/>
  <c r="X376" i="22"/>
  <c r="X375" i="22"/>
  <c r="X374" i="22"/>
  <c r="X373" i="22"/>
  <c r="X372" i="22"/>
  <c r="X371" i="22"/>
  <c r="X370" i="22"/>
  <c r="X369" i="22"/>
  <c r="X368" i="22"/>
  <c r="X367" i="22"/>
  <c r="X366" i="22"/>
  <c r="X365" i="22"/>
  <c r="A366" i="22"/>
  <c r="O366" i="22"/>
  <c r="Q366" i="22"/>
  <c r="A367" i="22"/>
  <c r="O367" i="22"/>
  <c r="Q367" i="22"/>
  <c r="A368" i="22"/>
  <c r="O368" i="22"/>
  <c r="Q368" i="22"/>
  <c r="A369" i="22"/>
  <c r="O369" i="22"/>
  <c r="Q369" i="22"/>
  <c r="A370" i="22"/>
  <c r="O370" i="22"/>
  <c r="Q370" i="22"/>
  <c r="A371" i="22"/>
  <c r="O371" i="22"/>
  <c r="Q371" i="22"/>
  <c r="A372" i="22"/>
  <c r="O372" i="22"/>
  <c r="Q372" i="22"/>
  <c r="A373" i="22"/>
  <c r="O373" i="22"/>
  <c r="Q373" i="22"/>
  <c r="A374" i="22"/>
  <c r="O374" i="22"/>
  <c r="Q374" i="22"/>
  <c r="A375" i="22"/>
  <c r="O375" i="22"/>
  <c r="Q375" i="22"/>
  <c r="A376" i="22"/>
  <c r="O376" i="22"/>
  <c r="Q376" i="22"/>
  <c r="A377" i="22"/>
  <c r="O377" i="22"/>
  <c r="Q377" i="22"/>
  <c r="A378" i="22"/>
  <c r="O378" i="22"/>
  <c r="Q378" i="22"/>
  <c r="A379" i="22"/>
  <c r="O379" i="22"/>
  <c r="Q379" i="22"/>
  <c r="A380" i="22"/>
  <c r="O380" i="22"/>
  <c r="Q380" i="22"/>
  <c r="A381" i="22"/>
  <c r="A382" i="22"/>
  <c r="A383" i="22"/>
  <c r="A384" i="22"/>
  <c r="O384" i="22"/>
  <c r="U384" i="22" s="1"/>
  <c r="Q384" i="22"/>
  <c r="W384" i="22" s="1"/>
  <c r="E385" i="22"/>
  <c r="X385" i="22"/>
  <c r="A386" i="22"/>
  <c r="O386" i="22"/>
  <c r="Q386" i="22"/>
  <c r="X405" i="22"/>
  <c r="X404" i="22"/>
  <c r="X403" i="22"/>
  <c r="X402" i="22"/>
  <c r="X401" i="22"/>
  <c r="X400" i="22"/>
  <c r="X399" i="22"/>
  <c r="X398" i="22"/>
  <c r="X397" i="22"/>
  <c r="X396" i="22"/>
  <c r="X395" i="22"/>
  <c r="X394" i="22"/>
  <c r="X393" i="22"/>
  <c r="X392" i="22"/>
  <c r="X391" i="22"/>
  <c r="X390" i="22"/>
  <c r="X389" i="22"/>
  <c r="X388" i="22"/>
  <c r="X387" i="22"/>
  <c r="X386" i="22"/>
  <c r="A387" i="22"/>
  <c r="O387" i="22"/>
  <c r="Q387" i="22"/>
  <c r="A388" i="22"/>
  <c r="O388" i="22"/>
  <c r="Q388" i="22"/>
  <c r="A389" i="22"/>
  <c r="O389" i="22"/>
  <c r="Q389" i="22"/>
  <c r="A390" i="22"/>
  <c r="O390" i="22"/>
  <c r="Q390" i="22"/>
  <c r="A391" i="22"/>
  <c r="O391" i="22"/>
  <c r="Q391" i="22"/>
  <c r="A392" i="22"/>
  <c r="O392" i="22"/>
  <c r="Q392" i="22"/>
  <c r="A393" i="22"/>
  <c r="O393" i="22"/>
  <c r="Q393" i="22"/>
  <c r="A394" i="22"/>
  <c r="O394" i="22"/>
  <c r="Q394" i="22"/>
  <c r="A395" i="22"/>
  <c r="O395" i="22"/>
  <c r="Q395" i="22"/>
  <c r="A396" i="22"/>
  <c r="O396" i="22"/>
  <c r="Q396" i="22"/>
  <c r="A397" i="22"/>
  <c r="O397" i="22"/>
  <c r="Q397" i="22"/>
  <c r="A398" i="22"/>
  <c r="O398" i="22"/>
  <c r="Q398" i="22"/>
  <c r="A399" i="22"/>
  <c r="O399" i="22"/>
  <c r="Q399" i="22"/>
  <c r="A400" i="22"/>
  <c r="O400" i="22"/>
  <c r="Q400" i="22"/>
  <c r="A401" i="22"/>
  <c r="O401" i="22"/>
  <c r="Q401" i="22"/>
  <c r="A402" i="22"/>
  <c r="A403" i="22"/>
  <c r="A404" i="22"/>
  <c r="A405" i="22"/>
  <c r="O405" i="22"/>
  <c r="U405" i="22" s="1"/>
  <c r="Q405" i="22"/>
  <c r="W405" i="22" s="1"/>
  <c r="E406" i="22"/>
  <c r="X406" i="22"/>
  <c r="A407" i="22"/>
  <c r="O407" i="22"/>
  <c r="Q407" i="22"/>
  <c r="X426" i="22"/>
  <c r="X425" i="22"/>
  <c r="X424" i="22"/>
  <c r="X423" i="22"/>
  <c r="X422" i="22"/>
  <c r="X421" i="22"/>
  <c r="X420" i="22"/>
  <c r="X419" i="22"/>
  <c r="X418" i="22"/>
  <c r="X417" i="22"/>
  <c r="X416" i="22"/>
  <c r="X415" i="22"/>
  <c r="X414" i="22"/>
  <c r="X413" i="22"/>
  <c r="X412" i="22"/>
  <c r="X411" i="22"/>
  <c r="X410" i="22"/>
  <c r="X409" i="22"/>
  <c r="X408" i="22"/>
  <c r="X407" i="22"/>
  <c r="A408" i="22"/>
  <c r="O408" i="22"/>
  <c r="Q408" i="22"/>
  <c r="A409" i="22"/>
  <c r="O409" i="22"/>
  <c r="Q409" i="22"/>
  <c r="A410" i="22"/>
  <c r="O410" i="22"/>
  <c r="Q410" i="22"/>
  <c r="A411" i="22"/>
  <c r="O411" i="22"/>
  <c r="Q411" i="22"/>
  <c r="A412" i="22"/>
  <c r="O412" i="22"/>
  <c r="Q412" i="22"/>
  <c r="A413" i="22"/>
  <c r="O413" i="22"/>
  <c r="Q413" i="22"/>
  <c r="A414" i="22"/>
  <c r="O414" i="22"/>
  <c r="Q414" i="22"/>
  <c r="A415" i="22"/>
  <c r="O415" i="22"/>
  <c r="Q415" i="22"/>
  <c r="A416" i="22"/>
  <c r="O416" i="22"/>
  <c r="Q416" i="22"/>
  <c r="A417" i="22"/>
  <c r="O417" i="22"/>
  <c r="Q417" i="22"/>
  <c r="A418" i="22"/>
  <c r="O418" i="22"/>
  <c r="Q418" i="22"/>
  <c r="A419" i="22"/>
  <c r="O419" i="22"/>
  <c r="Q419" i="22"/>
  <c r="A420" i="22"/>
  <c r="O420" i="22"/>
  <c r="Q420" i="22"/>
  <c r="A421" i="22"/>
  <c r="O421" i="22"/>
  <c r="Q421" i="22"/>
  <c r="A422" i="22"/>
  <c r="O422" i="22"/>
  <c r="Q422" i="22"/>
  <c r="A423" i="22"/>
  <c r="A424" i="22"/>
  <c r="A425" i="22"/>
  <c r="A426" i="22"/>
  <c r="O426" i="22"/>
  <c r="U426" i="22" s="1"/>
  <c r="Q426" i="22"/>
  <c r="W426" i="22" s="1"/>
  <c r="E427" i="22"/>
  <c r="X427" i="22"/>
  <c r="A8" i="21"/>
  <c r="O8" i="21"/>
  <c r="Q8" i="21"/>
  <c r="X27" i="21"/>
  <c r="X26" i="21"/>
  <c r="X25" i="21"/>
  <c r="X24" i="21"/>
  <c r="X23" i="21"/>
  <c r="X22" i="21"/>
  <c r="X21" i="21"/>
  <c r="X20" i="21"/>
  <c r="X19" i="21"/>
  <c r="X18" i="21"/>
  <c r="X17" i="21"/>
  <c r="X16" i="21"/>
  <c r="X15" i="21"/>
  <c r="X14" i="21"/>
  <c r="X13" i="21"/>
  <c r="X12" i="21"/>
  <c r="X11" i="21"/>
  <c r="X10" i="21"/>
  <c r="X9" i="21"/>
  <c r="X8" i="21"/>
  <c r="A9" i="21"/>
  <c r="O9" i="21"/>
  <c r="Q9" i="21"/>
  <c r="A10" i="21"/>
  <c r="O10" i="21"/>
  <c r="Q10" i="21"/>
  <c r="A11" i="21"/>
  <c r="O11" i="21"/>
  <c r="Q11" i="21"/>
  <c r="A12" i="21"/>
  <c r="O12" i="21"/>
  <c r="Q12" i="21"/>
  <c r="A13" i="21"/>
  <c r="O13" i="21"/>
  <c r="Q13" i="21"/>
  <c r="A14" i="21"/>
  <c r="O14" i="21"/>
  <c r="Q14" i="21"/>
  <c r="A15" i="21"/>
  <c r="O15" i="21"/>
  <c r="Q15" i="21"/>
  <c r="A16" i="21"/>
  <c r="O16" i="21"/>
  <c r="Q16" i="21"/>
  <c r="A17" i="21"/>
  <c r="O17" i="21"/>
  <c r="Q17" i="21"/>
  <c r="A18" i="21"/>
  <c r="O18" i="21"/>
  <c r="Q18" i="21"/>
  <c r="A19" i="21"/>
  <c r="O19" i="21"/>
  <c r="Q19" i="21"/>
  <c r="A20" i="21"/>
  <c r="O20" i="21"/>
  <c r="Q20" i="21"/>
  <c r="A21" i="21"/>
  <c r="O21" i="21"/>
  <c r="Q21" i="21"/>
  <c r="A22" i="21"/>
  <c r="O22" i="21"/>
  <c r="Q22" i="21"/>
  <c r="A23" i="21"/>
  <c r="O23" i="21"/>
  <c r="Q23" i="21"/>
  <c r="A24" i="21"/>
  <c r="A25" i="21"/>
  <c r="A26" i="21"/>
  <c r="A27" i="21"/>
  <c r="O27" i="21"/>
  <c r="U27" i="21" s="1"/>
  <c r="Q27" i="21"/>
  <c r="W27" i="21" s="1"/>
  <c r="E28" i="21"/>
  <c r="X28" i="21"/>
  <c r="A29" i="21"/>
  <c r="O29" i="21"/>
  <c r="Q29" i="21"/>
  <c r="X48" i="21"/>
  <c r="X47" i="21"/>
  <c r="X46" i="21"/>
  <c r="X45" i="21"/>
  <c r="X44" i="21"/>
  <c r="X43" i="21"/>
  <c r="X42" i="21"/>
  <c r="X41" i="21"/>
  <c r="X40" i="21"/>
  <c r="X39" i="21"/>
  <c r="X38" i="21"/>
  <c r="X37" i="21"/>
  <c r="X36" i="21"/>
  <c r="X35" i="21"/>
  <c r="X34" i="21"/>
  <c r="X33" i="21"/>
  <c r="X32" i="21"/>
  <c r="X31" i="21"/>
  <c r="X30" i="21"/>
  <c r="X29" i="21"/>
  <c r="A30" i="21"/>
  <c r="O30" i="21"/>
  <c r="Q30" i="21"/>
  <c r="A31" i="21"/>
  <c r="O31" i="21"/>
  <c r="Q31" i="21"/>
  <c r="A32" i="21"/>
  <c r="O32" i="21"/>
  <c r="Q32" i="21"/>
  <c r="A33" i="21"/>
  <c r="O33" i="21"/>
  <c r="Q33" i="21"/>
  <c r="A34" i="21"/>
  <c r="O34" i="21"/>
  <c r="Q34" i="21"/>
  <c r="A35" i="21"/>
  <c r="O35" i="21"/>
  <c r="Q35" i="21"/>
  <c r="A36" i="21"/>
  <c r="O36" i="21"/>
  <c r="Q36" i="21"/>
  <c r="A37" i="21"/>
  <c r="O37" i="21"/>
  <c r="Q37" i="21"/>
  <c r="A38" i="21"/>
  <c r="O38" i="21"/>
  <c r="Q38" i="21"/>
  <c r="A39" i="21"/>
  <c r="O39" i="21"/>
  <c r="Q39" i="21"/>
  <c r="A40" i="21"/>
  <c r="O40" i="21"/>
  <c r="Q40" i="21"/>
  <c r="A41" i="21"/>
  <c r="O41" i="21"/>
  <c r="Q41" i="21"/>
  <c r="A42" i="21"/>
  <c r="O42" i="21"/>
  <c r="Q42" i="21"/>
  <c r="A43" i="21"/>
  <c r="O43" i="21"/>
  <c r="Q43" i="21"/>
  <c r="A44" i="21"/>
  <c r="O44" i="21"/>
  <c r="Q44" i="21"/>
  <c r="A45" i="21"/>
  <c r="A46" i="21"/>
  <c r="A47" i="21"/>
  <c r="A48" i="21"/>
  <c r="O48" i="21"/>
  <c r="U48" i="21" s="1"/>
  <c r="Q48" i="21"/>
  <c r="W48" i="21" s="1"/>
  <c r="E49" i="21"/>
  <c r="X49" i="21"/>
  <c r="A50" i="21"/>
  <c r="O50" i="21"/>
  <c r="Q50" i="21"/>
  <c r="X69" i="21"/>
  <c r="X68" i="21"/>
  <c r="X67" i="21"/>
  <c r="X66" i="21"/>
  <c r="X65" i="21"/>
  <c r="X64" i="21"/>
  <c r="X63" i="21"/>
  <c r="X62" i="21"/>
  <c r="X61" i="21"/>
  <c r="X60" i="21"/>
  <c r="X59" i="21"/>
  <c r="X58" i="21"/>
  <c r="X57" i="21"/>
  <c r="X56" i="21"/>
  <c r="X55" i="21"/>
  <c r="X54" i="21"/>
  <c r="X53" i="21"/>
  <c r="X52" i="21"/>
  <c r="X51" i="21"/>
  <c r="X50" i="21"/>
  <c r="A51" i="21"/>
  <c r="O51" i="21"/>
  <c r="Q51" i="21"/>
  <c r="A52" i="21"/>
  <c r="O52" i="21"/>
  <c r="Q52" i="21"/>
  <c r="A53" i="21"/>
  <c r="O53" i="21"/>
  <c r="Q53" i="21"/>
  <c r="A54" i="21"/>
  <c r="O54" i="21"/>
  <c r="Q54" i="21"/>
  <c r="A55" i="21"/>
  <c r="O55" i="21"/>
  <c r="Q55" i="21"/>
  <c r="A56" i="21"/>
  <c r="O56" i="21"/>
  <c r="Q56" i="21"/>
  <c r="A57" i="21"/>
  <c r="O57" i="21"/>
  <c r="Q57" i="21"/>
  <c r="A58" i="21"/>
  <c r="O58" i="21"/>
  <c r="Q58" i="21"/>
  <c r="A59" i="21"/>
  <c r="O59" i="21"/>
  <c r="Q59" i="21"/>
  <c r="A60" i="21"/>
  <c r="O60" i="21"/>
  <c r="Q60" i="21"/>
  <c r="A61" i="21"/>
  <c r="O61" i="21"/>
  <c r="Q61" i="21"/>
  <c r="A62" i="21"/>
  <c r="O62" i="21"/>
  <c r="Q62" i="21"/>
  <c r="A63" i="21"/>
  <c r="O63" i="21"/>
  <c r="Q63" i="21"/>
  <c r="A64" i="21"/>
  <c r="O64" i="21"/>
  <c r="Q64" i="21"/>
  <c r="A65" i="21"/>
  <c r="O65" i="21"/>
  <c r="Q65" i="21"/>
  <c r="A66" i="21"/>
  <c r="A67" i="21"/>
  <c r="A68" i="21"/>
  <c r="A69" i="21"/>
  <c r="O69" i="21"/>
  <c r="U69" i="21" s="1"/>
  <c r="Q69" i="21"/>
  <c r="W69" i="21" s="1"/>
  <c r="E70" i="21"/>
  <c r="X70" i="21"/>
  <c r="A71" i="21"/>
  <c r="O71" i="21"/>
  <c r="Q71" i="21"/>
  <c r="X90" i="21"/>
  <c r="X89" i="21"/>
  <c r="X88" i="21"/>
  <c r="X87" i="21"/>
  <c r="X86" i="21"/>
  <c r="X85" i="21"/>
  <c r="X84" i="21"/>
  <c r="X83" i="21"/>
  <c r="X82" i="21"/>
  <c r="X81" i="21"/>
  <c r="X80" i="21"/>
  <c r="X79" i="21"/>
  <c r="X78" i="21"/>
  <c r="X77" i="21"/>
  <c r="X76" i="21"/>
  <c r="X75" i="21"/>
  <c r="X74" i="21"/>
  <c r="X73" i="21"/>
  <c r="X72" i="21"/>
  <c r="X71" i="21"/>
  <c r="A72" i="21"/>
  <c r="O72" i="21"/>
  <c r="Q72" i="21"/>
  <c r="A73" i="21"/>
  <c r="O73" i="21"/>
  <c r="Q73" i="21"/>
  <c r="A74" i="21"/>
  <c r="O74" i="21"/>
  <c r="Q74" i="21"/>
  <c r="A75" i="21"/>
  <c r="O75" i="21"/>
  <c r="Q75" i="21"/>
  <c r="A76" i="21"/>
  <c r="O76" i="21"/>
  <c r="Q76" i="21"/>
  <c r="A77" i="21"/>
  <c r="O77" i="21"/>
  <c r="Q77" i="21"/>
  <c r="A78" i="21"/>
  <c r="O78" i="21"/>
  <c r="Q78" i="21"/>
  <c r="A79" i="21"/>
  <c r="O79" i="21"/>
  <c r="Q79" i="21"/>
  <c r="A80" i="21"/>
  <c r="O80" i="21"/>
  <c r="Q80" i="21"/>
  <c r="A81" i="21"/>
  <c r="O81" i="21"/>
  <c r="Q81" i="21"/>
  <c r="A82" i="21"/>
  <c r="O82" i="21"/>
  <c r="Q82" i="21"/>
  <c r="A83" i="21"/>
  <c r="O83" i="21"/>
  <c r="Q83" i="21"/>
  <c r="A84" i="21"/>
  <c r="O84" i="21"/>
  <c r="Q84" i="21"/>
  <c r="A85" i="21"/>
  <c r="O85" i="21"/>
  <c r="Q85" i="21"/>
  <c r="A86" i="21"/>
  <c r="O86" i="21"/>
  <c r="Q86" i="21"/>
  <c r="A87" i="21"/>
  <c r="A88" i="21"/>
  <c r="A89" i="21"/>
  <c r="A90" i="21"/>
  <c r="O90" i="21"/>
  <c r="U90" i="21" s="1"/>
  <c r="Q90" i="21"/>
  <c r="W90" i="21" s="1"/>
  <c r="E91" i="21"/>
  <c r="X91" i="21"/>
  <c r="A92" i="21"/>
  <c r="O92" i="21"/>
  <c r="Q92" i="21"/>
  <c r="X111" i="21"/>
  <c r="X110" i="21"/>
  <c r="X109" i="21"/>
  <c r="X108" i="21"/>
  <c r="X107" i="21"/>
  <c r="X106" i="21"/>
  <c r="X105" i="21"/>
  <c r="X104" i="21"/>
  <c r="X103" i="21"/>
  <c r="X102" i="21"/>
  <c r="X101" i="21"/>
  <c r="X100" i="21"/>
  <c r="X99" i="21"/>
  <c r="X98" i="21"/>
  <c r="X97" i="21"/>
  <c r="X96" i="21"/>
  <c r="X95" i="21"/>
  <c r="X94" i="21"/>
  <c r="X93" i="21"/>
  <c r="X92" i="21"/>
  <c r="A93" i="21"/>
  <c r="O93" i="21"/>
  <c r="Q93" i="21"/>
  <c r="A94" i="21"/>
  <c r="O94" i="21"/>
  <c r="Q94" i="21"/>
  <c r="A95" i="21"/>
  <c r="O95" i="21"/>
  <c r="Q95" i="21"/>
  <c r="A96" i="21"/>
  <c r="O96" i="21"/>
  <c r="Q96" i="21"/>
  <c r="A97" i="21"/>
  <c r="O97" i="21"/>
  <c r="Q97" i="21"/>
  <c r="A98" i="21"/>
  <c r="O98" i="21"/>
  <c r="Q98" i="21"/>
  <c r="A99" i="21"/>
  <c r="O99" i="21"/>
  <c r="Q99" i="21"/>
  <c r="A100" i="21"/>
  <c r="O100" i="21"/>
  <c r="Q100" i="21"/>
  <c r="A101" i="21"/>
  <c r="O101" i="21"/>
  <c r="Q101" i="21"/>
  <c r="A102" i="21"/>
  <c r="O102" i="21"/>
  <c r="Q102" i="21"/>
  <c r="A103" i="21"/>
  <c r="O103" i="21"/>
  <c r="Q103" i="21"/>
  <c r="A104" i="21"/>
  <c r="O104" i="21"/>
  <c r="Q104" i="21"/>
  <c r="A105" i="21"/>
  <c r="O105" i="21"/>
  <c r="Q105" i="21"/>
  <c r="A106" i="21"/>
  <c r="O106" i="21"/>
  <c r="Q106" i="21"/>
  <c r="A107" i="21"/>
  <c r="O107" i="21"/>
  <c r="Q107" i="21"/>
  <c r="A108" i="21"/>
  <c r="A109" i="21"/>
  <c r="A110" i="21"/>
  <c r="A111" i="21"/>
  <c r="O111" i="21"/>
  <c r="U111" i="21" s="1"/>
  <c r="Q111" i="21"/>
  <c r="W111" i="21" s="1"/>
  <c r="E112" i="21"/>
  <c r="X112" i="21"/>
  <c r="A113" i="21"/>
  <c r="O113" i="21"/>
  <c r="Q113" i="21"/>
  <c r="X132" i="21"/>
  <c r="X131" i="21"/>
  <c r="X130" i="21"/>
  <c r="X129" i="21"/>
  <c r="X128" i="21"/>
  <c r="X127" i="21"/>
  <c r="X126" i="21"/>
  <c r="X125" i="21"/>
  <c r="X124" i="21"/>
  <c r="X123" i="21"/>
  <c r="X122" i="21"/>
  <c r="X121" i="21"/>
  <c r="X120" i="21"/>
  <c r="X119" i="21"/>
  <c r="X118" i="21"/>
  <c r="X117" i="21"/>
  <c r="X116" i="21"/>
  <c r="X115" i="21"/>
  <c r="X114" i="21"/>
  <c r="X113" i="21"/>
  <c r="A114" i="21"/>
  <c r="O114" i="21"/>
  <c r="Q114" i="21"/>
  <c r="A115" i="21"/>
  <c r="O115" i="21"/>
  <c r="Q115" i="21"/>
  <c r="A116" i="21"/>
  <c r="O116" i="21"/>
  <c r="Q116" i="21"/>
  <c r="A117" i="21"/>
  <c r="O117" i="21"/>
  <c r="Q117" i="21"/>
  <c r="A118" i="21"/>
  <c r="O118" i="21"/>
  <c r="Q118" i="21"/>
  <c r="A119" i="21"/>
  <c r="O119" i="21"/>
  <c r="Q119" i="21"/>
  <c r="A120" i="21"/>
  <c r="O120" i="21"/>
  <c r="Q120" i="21"/>
  <c r="A121" i="21"/>
  <c r="O121" i="21"/>
  <c r="Q121" i="21"/>
  <c r="A122" i="21"/>
  <c r="O122" i="21"/>
  <c r="Q122" i="21"/>
  <c r="A123" i="21"/>
  <c r="O123" i="21"/>
  <c r="Q123" i="21"/>
  <c r="A124" i="21"/>
  <c r="O124" i="21"/>
  <c r="Q124" i="21"/>
  <c r="A125" i="21"/>
  <c r="O125" i="21"/>
  <c r="Q125" i="21"/>
  <c r="A126" i="21"/>
  <c r="O126" i="21"/>
  <c r="Q126" i="21"/>
  <c r="A127" i="21"/>
  <c r="O127" i="21"/>
  <c r="Q127" i="21"/>
  <c r="A128" i="21"/>
  <c r="O128" i="21"/>
  <c r="Q128" i="21"/>
  <c r="A129" i="21"/>
  <c r="A130" i="21"/>
  <c r="A131" i="21"/>
  <c r="A132" i="21"/>
  <c r="O132" i="21"/>
  <c r="U132" i="21" s="1"/>
  <c r="Q132" i="21"/>
  <c r="W132" i="21" s="1"/>
  <c r="E133" i="21"/>
  <c r="X133" i="21"/>
  <c r="A134" i="21"/>
  <c r="O134" i="21"/>
  <c r="Q134" i="21"/>
  <c r="X153" i="21"/>
  <c r="X152" i="21"/>
  <c r="X151" i="21"/>
  <c r="X150" i="21"/>
  <c r="X149" i="21"/>
  <c r="X148" i="21"/>
  <c r="X147" i="21"/>
  <c r="X146" i="21"/>
  <c r="X145" i="21"/>
  <c r="X144" i="21"/>
  <c r="X143" i="21"/>
  <c r="X142" i="21"/>
  <c r="X141" i="21"/>
  <c r="X140" i="21"/>
  <c r="X139" i="21"/>
  <c r="X138" i="21"/>
  <c r="X137" i="21"/>
  <c r="X136" i="21"/>
  <c r="X135" i="21"/>
  <c r="X134" i="21"/>
  <c r="A135" i="21"/>
  <c r="O135" i="21"/>
  <c r="Q135" i="21"/>
  <c r="A136" i="21"/>
  <c r="O136" i="21"/>
  <c r="Q136" i="21"/>
  <c r="A137" i="21"/>
  <c r="O137" i="21"/>
  <c r="Q137" i="21"/>
  <c r="A138" i="21"/>
  <c r="O138" i="21"/>
  <c r="Q138" i="21"/>
  <c r="A139" i="21"/>
  <c r="O139" i="21"/>
  <c r="Q139" i="21"/>
  <c r="A140" i="21"/>
  <c r="O140" i="21"/>
  <c r="Q140" i="21"/>
  <c r="A141" i="21"/>
  <c r="O141" i="21"/>
  <c r="Q141" i="21"/>
  <c r="A142" i="21"/>
  <c r="O142" i="21"/>
  <c r="Q142" i="21"/>
  <c r="A143" i="21"/>
  <c r="O143" i="21"/>
  <c r="Q143" i="21"/>
  <c r="A144" i="21"/>
  <c r="O144" i="21"/>
  <c r="Q144" i="21"/>
  <c r="A145" i="21"/>
  <c r="O145" i="21"/>
  <c r="Q145" i="21"/>
  <c r="A146" i="21"/>
  <c r="O146" i="21"/>
  <c r="Q146" i="21"/>
  <c r="A147" i="21"/>
  <c r="O147" i="21"/>
  <c r="Q147" i="21"/>
  <c r="A148" i="21"/>
  <c r="O148" i="21"/>
  <c r="Q148" i="21"/>
  <c r="A149" i="21"/>
  <c r="O149" i="21"/>
  <c r="Q149" i="21"/>
  <c r="A150" i="21"/>
  <c r="A151" i="21"/>
  <c r="A152" i="21"/>
  <c r="A153" i="21"/>
  <c r="O153" i="21"/>
  <c r="U153" i="21" s="1"/>
  <c r="Q153" i="21"/>
  <c r="W153" i="21" s="1"/>
  <c r="E154" i="21"/>
  <c r="X154" i="21"/>
  <c r="A155" i="21"/>
  <c r="O155" i="21"/>
  <c r="Q155" i="21"/>
  <c r="X174" i="21"/>
  <c r="X173" i="21"/>
  <c r="X172" i="21"/>
  <c r="X171" i="21"/>
  <c r="X170" i="21"/>
  <c r="X169" i="21"/>
  <c r="X168" i="21"/>
  <c r="X167" i="21"/>
  <c r="X166" i="21"/>
  <c r="X165" i="21"/>
  <c r="X164" i="21"/>
  <c r="X163" i="21"/>
  <c r="X162" i="21"/>
  <c r="X161" i="21"/>
  <c r="X160" i="21"/>
  <c r="X159" i="21"/>
  <c r="X158" i="21"/>
  <c r="X157" i="21"/>
  <c r="X156" i="21"/>
  <c r="X155" i="21"/>
  <c r="A156" i="21"/>
  <c r="O156" i="21"/>
  <c r="Q156" i="21"/>
  <c r="A157" i="21"/>
  <c r="O157" i="21"/>
  <c r="Q157" i="21"/>
  <c r="A158" i="21"/>
  <c r="O158" i="21"/>
  <c r="Q158" i="21"/>
  <c r="A159" i="21"/>
  <c r="O159" i="21"/>
  <c r="Q159" i="21"/>
  <c r="A160" i="21"/>
  <c r="O160" i="21"/>
  <c r="Q160" i="21"/>
  <c r="A161" i="21"/>
  <c r="O161" i="21"/>
  <c r="Q161" i="21"/>
  <c r="A162" i="21"/>
  <c r="O162" i="21"/>
  <c r="Q162" i="21"/>
  <c r="A163" i="21"/>
  <c r="O163" i="21"/>
  <c r="Q163" i="21"/>
  <c r="A164" i="21"/>
  <c r="O164" i="21"/>
  <c r="Q164" i="21"/>
  <c r="A165" i="21"/>
  <c r="O165" i="21"/>
  <c r="Q165" i="21"/>
  <c r="A166" i="21"/>
  <c r="O166" i="21"/>
  <c r="Q166" i="21"/>
  <c r="A167" i="21"/>
  <c r="O167" i="21"/>
  <c r="Q167" i="21"/>
  <c r="A168" i="21"/>
  <c r="O168" i="21"/>
  <c r="Q168" i="21"/>
  <c r="A169" i="21"/>
  <c r="O169" i="21"/>
  <c r="Q169" i="21"/>
  <c r="A170" i="21"/>
  <c r="O170" i="21"/>
  <c r="Q170" i="21"/>
  <c r="A171" i="21"/>
  <c r="A172" i="21"/>
  <c r="A173" i="21"/>
  <c r="A174" i="21"/>
  <c r="O174" i="21"/>
  <c r="U174" i="21" s="1"/>
  <c r="Q174" i="21"/>
  <c r="W174" i="21" s="1"/>
  <c r="E175" i="21"/>
  <c r="X175" i="21"/>
  <c r="A176" i="21"/>
  <c r="O176" i="21"/>
  <c r="Q176" i="21"/>
  <c r="X195" i="21"/>
  <c r="X194" i="21"/>
  <c r="X193" i="21"/>
  <c r="X192" i="21"/>
  <c r="X191" i="21"/>
  <c r="X190" i="21"/>
  <c r="X189" i="21"/>
  <c r="X188" i="21"/>
  <c r="X187" i="21"/>
  <c r="X186" i="21"/>
  <c r="X185" i="21"/>
  <c r="X184" i="21"/>
  <c r="X183" i="21"/>
  <c r="X182" i="21"/>
  <c r="X181" i="21"/>
  <c r="X180" i="21"/>
  <c r="X179" i="21"/>
  <c r="X178" i="21"/>
  <c r="X177" i="21"/>
  <c r="X176" i="21"/>
  <c r="A177" i="21"/>
  <c r="O177" i="21"/>
  <c r="Q177" i="21"/>
  <c r="A178" i="21"/>
  <c r="O178" i="21"/>
  <c r="Q178" i="21"/>
  <c r="A179" i="21"/>
  <c r="O179" i="21"/>
  <c r="Q179" i="21"/>
  <c r="A180" i="21"/>
  <c r="O180" i="21"/>
  <c r="Q180" i="21"/>
  <c r="A181" i="21"/>
  <c r="O181" i="21"/>
  <c r="Q181" i="21"/>
  <c r="A182" i="21"/>
  <c r="O182" i="21"/>
  <c r="Q182" i="21"/>
  <c r="A183" i="21"/>
  <c r="O183" i="21"/>
  <c r="Q183" i="21"/>
  <c r="A184" i="21"/>
  <c r="O184" i="21"/>
  <c r="Q184" i="21"/>
  <c r="A185" i="21"/>
  <c r="O185" i="21"/>
  <c r="Q185" i="21"/>
  <c r="A186" i="21"/>
  <c r="O186" i="21"/>
  <c r="Q186" i="21"/>
  <c r="A187" i="21"/>
  <c r="O187" i="21"/>
  <c r="Q187" i="21"/>
  <c r="A188" i="21"/>
  <c r="O188" i="21"/>
  <c r="Q188" i="21"/>
  <c r="A189" i="21"/>
  <c r="O189" i="21"/>
  <c r="Q189" i="21"/>
  <c r="A190" i="21"/>
  <c r="O190" i="21"/>
  <c r="Q190" i="21"/>
  <c r="A191" i="21"/>
  <c r="O191" i="21"/>
  <c r="Q191" i="21"/>
  <c r="A192" i="21"/>
  <c r="A193" i="21"/>
  <c r="A194" i="21"/>
  <c r="A195" i="21"/>
  <c r="O195" i="21"/>
  <c r="U195" i="21" s="1"/>
  <c r="Q195" i="21"/>
  <c r="W195" i="21" s="1"/>
  <c r="E196" i="21"/>
  <c r="X196" i="21"/>
  <c r="A197" i="21"/>
  <c r="O197" i="21"/>
  <c r="Q197" i="21"/>
  <c r="X216" i="21"/>
  <c r="X215" i="21"/>
  <c r="X214" i="21"/>
  <c r="X213" i="21"/>
  <c r="X212" i="21"/>
  <c r="X211" i="21"/>
  <c r="X210" i="21"/>
  <c r="X209" i="21"/>
  <c r="X208" i="21"/>
  <c r="X207" i="21"/>
  <c r="X206" i="21"/>
  <c r="X205" i="21"/>
  <c r="X204" i="21"/>
  <c r="X203" i="21"/>
  <c r="X202" i="21"/>
  <c r="X201" i="21"/>
  <c r="X200" i="21"/>
  <c r="X199" i="21"/>
  <c r="X198" i="21"/>
  <c r="X197" i="21"/>
  <c r="A198" i="21"/>
  <c r="O198" i="21"/>
  <c r="Q198" i="21"/>
  <c r="A199" i="21"/>
  <c r="O199" i="21"/>
  <c r="Q199" i="21"/>
  <c r="A200" i="21"/>
  <c r="O200" i="21"/>
  <c r="Q200" i="21"/>
  <c r="A201" i="21"/>
  <c r="O201" i="21"/>
  <c r="Q201" i="21"/>
  <c r="A202" i="21"/>
  <c r="O202" i="21"/>
  <c r="Q202" i="21"/>
  <c r="A203" i="21"/>
  <c r="O203" i="21"/>
  <c r="Q203" i="21"/>
  <c r="A204" i="21"/>
  <c r="O204" i="21"/>
  <c r="Q204" i="21"/>
  <c r="A205" i="21"/>
  <c r="O205" i="21"/>
  <c r="Q205" i="21"/>
  <c r="A206" i="21"/>
  <c r="O206" i="21"/>
  <c r="Q206" i="21"/>
  <c r="A207" i="21"/>
  <c r="O207" i="21"/>
  <c r="Q207" i="21"/>
  <c r="A208" i="21"/>
  <c r="O208" i="21"/>
  <c r="Q208" i="21"/>
  <c r="A209" i="21"/>
  <c r="O209" i="21"/>
  <c r="Q209" i="21"/>
  <c r="A210" i="21"/>
  <c r="O210" i="21"/>
  <c r="Q210" i="21"/>
  <c r="A211" i="21"/>
  <c r="O211" i="21"/>
  <c r="Q211" i="21"/>
  <c r="A212" i="21"/>
  <c r="O212" i="21"/>
  <c r="Q212" i="21"/>
  <c r="A213" i="21"/>
  <c r="A214" i="21"/>
  <c r="A215" i="21"/>
  <c r="A216" i="21"/>
  <c r="O216" i="21"/>
  <c r="U216" i="21" s="1"/>
  <c r="Q216" i="21"/>
  <c r="W216" i="21" s="1"/>
  <c r="E217" i="21"/>
  <c r="X217" i="21"/>
  <c r="A218" i="21"/>
  <c r="O218" i="21"/>
  <c r="Q218" i="21"/>
  <c r="X237" i="21"/>
  <c r="X236" i="21"/>
  <c r="X235" i="21"/>
  <c r="X234" i="21"/>
  <c r="X233" i="21"/>
  <c r="X232" i="21"/>
  <c r="X231" i="21"/>
  <c r="X230" i="21"/>
  <c r="X229" i="21"/>
  <c r="X228" i="21"/>
  <c r="X227" i="21"/>
  <c r="X226" i="21"/>
  <c r="X225" i="21"/>
  <c r="X224" i="21"/>
  <c r="X223" i="21"/>
  <c r="X222" i="21"/>
  <c r="X221" i="21"/>
  <c r="X220" i="21"/>
  <c r="X219" i="21"/>
  <c r="X218" i="21"/>
  <c r="A219" i="21"/>
  <c r="O219" i="21"/>
  <c r="Q219" i="21"/>
  <c r="A220" i="21"/>
  <c r="O220" i="21"/>
  <c r="Q220" i="21"/>
  <c r="A221" i="21"/>
  <c r="O221" i="21"/>
  <c r="Q221" i="21"/>
  <c r="A222" i="21"/>
  <c r="O222" i="21"/>
  <c r="Q222" i="21"/>
  <c r="A223" i="21"/>
  <c r="O223" i="21"/>
  <c r="Q223" i="21"/>
  <c r="A224" i="21"/>
  <c r="O224" i="21"/>
  <c r="Q224" i="21"/>
  <c r="A225" i="21"/>
  <c r="O225" i="21"/>
  <c r="Q225" i="21"/>
  <c r="A226" i="21"/>
  <c r="O226" i="21"/>
  <c r="Q226" i="21"/>
  <c r="A227" i="21"/>
  <c r="O227" i="21"/>
  <c r="Q227" i="21"/>
  <c r="A228" i="21"/>
  <c r="O228" i="21"/>
  <c r="Q228" i="21"/>
  <c r="A229" i="21"/>
  <c r="O229" i="21"/>
  <c r="Q229" i="21"/>
  <c r="A230" i="21"/>
  <c r="O230" i="21"/>
  <c r="Q230" i="21"/>
  <c r="A231" i="21"/>
  <c r="O231" i="21"/>
  <c r="Q231" i="21"/>
  <c r="A232" i="21"/>
  <c r="O232" i="21"/>
  <c r="Q232" i="21"/>
  <c r="A233" i="21"/>
  <c r="O233" i="21"/>
  <c r="Q233" i="21"/>
  <c r="A234" i="21"/>
  <c r="A235" i="21"/>
  <c r="A236" i="21"/>
  <c r="A237" i="21"/>
  <c r="O237" i="21"/>
  <c r="U237" i="21" s="1"/>
  <c r="Q237" i="21"/>
  <c r="W237" i="21" s="1"/>
  <c r="E238" i="21"/>
  <c r="X238" i="21"/>
  <c r="A239" i="21"/>
  <c r="O239" i="21"/>
  <c r="Q239" i="21"/>
  <c r="X258" i="21"/>
  <c r="X257" i="21"/>
  <c r="X256" i="21"/>
  <c r="X255" i="21"/>
  <c r="X254" i="21"/>
  <c r="X253" i="21"/>
  <c r="X252" i="21"/>
  <c r="X251" i="21"/>
  <c r="X250" i="21"/>
  <c r="X249" i="21"/>
  <c r="X248" i="21"/>
  <c r="X247" i="21"/>
  <c r="X246" i="21"/>
  <c r="X245" i="21"/>
  <c r="X244" i="21"/>
  <c r="X243" i="21"/>
  <c r="X242" i="21"/>
  <c r="X241" i="21"/>
  <c r="X240" i="21"/>
  <c r="X239" i="21"/>
  <c r="A240" i="21"/>
  <c r="O240" i="21"/>
  <c r="Q240" i="21"/>
  <c r="A241" i="21"/>
  <c r="O241" i="21"/>
  <c r="Q241" i="21"/>
  <c r="A242" i="21"/>
  <c r="O242" i="21"/>
  <c r="Q242" i="21"/>
  <c r="A243" i="21"/>
  <c r="O243" i="21"/>
  <c r="Q243" i="21"/>
  <c r="A244" i="21"/>
  <c r="O244" i="21"/>
  <c r="Q244" i="21"/>
  <c r="A245" i="21"/>
  <c r="O245" i="21"/>
  <c r="Q245" i="21"/>
  <c r="A246" i="21"/>
  <c r="O246" i="21"/>
  <c r="Q246" i="21"/>
  <c r="A247" i="21"/>
  <c r="O247" i="21"/>
  <c r="Q247" i="21"/>
  <c r="A248" i="21"/>
  <c r="O248" i="21"/>
  <c r="Q248" i="21"/>
  <c r="A249" i="21"/>
  <c r="O249" i="21"/>
  <c r="Q249" i="21"/>
  <c r="A250" i="21"/>
  <c r="O250" i="21"/>
  <c r="Q250" i="21"/>
  <c r="A251" i="21"/>
  <c r="O251" i="21"/>
  <c r="Q251" i="21"/>
  <c r="A252" i="21"/>
  <c r="O252" i="21"/>
  <c r="Q252" i="21"/>
  <c r="A253" i="21"/>
  <c r="O253" i="21"/>
  <c r="Q253" i="21"/>
  <c r="A254" i="21"/>
  <c r="O254" i="21"/>
  <c r="Q254" i="21"/>
  <c r="A255" i="21"/>
  <c r="A256" i="21"/>
  <c r="A257" i="21"/>
  <c r="A258" i="21"/>
  <c r="O258" i="21"/>
  <c r="U258" i="21" s="1"/>
  <c r="Q258" i="21"/>
  <c r="W258" i="21" s="1"/>
  <c r="E259" i="21"/>
  <c r="X259" i="21"/>
  <c r="A260" i="21"/>
  <c r="O260" i="21"/>
  <c r="Q260" i="21"/>
  <c r="X279" i="21"/>
  <c r="X278" i="21"/>
  <c r="X277" i="21"/>
  <c r="X276" i="21"/>
  <c r="X275" i="21"/>
  <c r="X274" i="21"/>
  <c r="X273" i="21"/>
  <c r="X272" i="21"/>
  <c r="X271" i="21"/>
  <c r="X270" i="21"/>
  <c r="X269" i="21"/>
  <c r="X268" i="21"/>
  <c r="X267" i="21"/>
  <c r="X266" i="21"/>
  <c r="X265" i="21"/>
  <c r="X264" i="21"/>
  <c r="X263" i="21"/>
  <c r="X262" i="21"/>
  <c r="X261" i="21"/>
  <c r="X260" i="21"/>
  <c r="A261" i="21"/>
  <c r="O261" i="21"/>
  <c r="Q261" i="21"/>
  <c r="A262" i="21"/>
  <c r="O262" i="21"/>
  <c r="Q262" i="21"/>
  <c r="A263" i="21"/>
  <c r="O263" i="21"/>
  <c r="Q263" i="21"/>
  <c r="A264" i="21"/>
  <c r="O264" i="21"/>
  <c r="Q264" i="21"/>
  <c r="A265" i="21"/>
  <c r="O265" i="21"/>
  <c r="Q265" i="21"/>
  <c r="A266" i="21"/>
  <c r="O266" i="21"/>
  <c r="Q266" i="21"/>
  <c r="A267" i="21"/>
  <c r="O267" i="21"/>
  <c r="Q267" i="21"/>
  <c r="A268" i="21"/>
  <c r="O268" i="21"/>
  <c r="Q268" i="21"/>
  <c r="A269" i="21"/>
  <c r="O269" i="21"/>
  <c r="Q269" i="21"/>
  <c r="A270" i="21"/>
  <c r="O270" i="21"/>
  <c r="Q270" i="21"/>
  <c r="A271" i="21"/>
  <c r="O271" i="21"/>
  <c r="Q271" i="21"/>
  <c r="A272" i="21"/>
  <c r="O272" i="21"/>
  <c r="Q272" i="21"/>
  <c r="A273" i="21"/>
  <c r="O273" i="21"/>
  <c r="Q273" i="21"/>
  <c r="A274" i="21"/>
  <c r="O274" i="21"/>
  <c r="Q274" i="21"/>
  <c r="A275" i="21"/>
  <c r="O275" i="21"/>
  <c r="Q275" i="21"/>
  <c r="A276" i="21"/>
  <c r="A277" i="21"/>
  <c r="A278" i="21"/>
  <c r="A279" i="21"/>
  <c r="O279" i="21"/>
  <c r="U279" i="21" s="1"/>
  <c r="Q279" i="21"/>
  <c r="W279" i="21" s="1"/>
  <c r="E280" i="21"/>
  <c r="X280" i="21"/>
  <c r="A281" i="21"/>
  <c r="O281" i="21"/>
  <c r="Q281" i="21"/>
  <c r="X300" i="21"/>
  <c r="X299" i="21"/>
  <c r="X298" i="21"/>
  <c r="X297" i="21"/>
  <c r="X296" i="21"/>
  <c r="X295" i="21"/>
  <c r="X294" i="21"/>
  <c r="X293" i="21"/>
  <c r="X292" i="21"/>
  <c r="X291" i="21"/>
  <c r="X290" i="21"/>
  <c r="X289" i="21"/>
  <c r="X288" i="21"/>
  <c r="X287" i="21"/>
  <c r="X286" i="21"/>
  <c r="X285" i="21"/>
  <c r="X284" i="21"/>
  <c r="X283" i="21"/>
  <c r="X282" i="21"/>
  <c r="X281" i="21"/>
  <c r="A282" i="21"/>
  <c r="O282" i="21"/>
  <c r="Q282" i="21"/>
  <c r="A283" i="21"/>
  <c r="O283" i="21"/>
  <c r="Q283" i="21"/>
  <c r="A284" i="21"/>
  <c r="O284" i="21"/>
  <c r="Q284" i="21"/>
  <c r="A285" i="21"/>
  <c r="O285" i="21"/>
  <c r="Q285" i="21"/>
  <c r="A286" i="21"/>
  <c r="O286" i="21"/>
  <c r="Q286" i="21"/>
  <c r="A287" i="21"/>
  <c r="O287" i="21"/>
  <c r="Q287" i="21"/>
  <c r="A288" i="21"/>
  <c r="O288" i="21"/>
  <c r="Q288" i="21"/>
  <c r="A289" i="21"/>
  <c r="O289" i="21"/>
  <c r="Q289" i="21"/>
  <c r="A290" i="21"/>
  <c r="O290" i="21"/>
  <c r="Q290" i="21"/>
  <c r="A291" i="21"/>
  <c r="O291" i="21"/>
  <c r="Q291" i="21"/>
  <c r="A292" i="21"/>
  <c r="O292" i="21"/>
  <c r="Q292" i="21"/>
  <c r="A293" i="21"/>
  <c r="O293" i="21"/>
  <c r="Q293" i="21"/>
  <c r="A294" i="21"/>
  <c r="O294" i="21"/>
  <c r="Q294" i="21"/>
  <c r="A295" i="21"/>
  <c r="O295" i="21"/>
  <c r="Q295" i="21"/>
  <c r="A296" i="21"/>
  <c r="O296" i="21"/>
  <c r="Q296" i="21"/>
  <c r="A297" i="21"/>
  <c r="A298" i="21"/>
  <c r="A299" i="21"/>
  <c r="A300" i="21"/>
  <c r="O300" i="21"/>
  <c r="U300" i="21" s="1"/>
  <c r="Q300" i="21"/>
  <c r="W300" i="21" s="1"/>
  <c r="E301" i="21"/>
  <c r="X301" i="21"/>
  <c r="A302" i="21"/>
  <c r="O302" i="21"/>
  <c r="Q302" i="21"/>
  <c r="X321" i="21"/>
  <c r="X320" i="21"/>
  <c r="X319" i="21"/>
  <c r="X318" i="21"/>
  <c r="X317" i="21"/>
  <c r="X316" i="21"/>
  <c r="X315" i="21"/>
  <c r="X314" i="21"/>
  <c r="X313" i="21"/>
  <c r="X312" i="21"/>
  <c r="X311" i="21"/>
  <c r="X310" i="21"/>
  <c r="X309" i="21"/>
  <c r="X308" i="21"/>
  <c r="X307" i="21"/>
  <c r="X306" i="21"/>
  <c r="X305" i="21"/>
  <c r="X304" i="21"/>
  <c r="X303" i="21"/>
  <c r="X302" i="21"/>
  <c r="A303" i="21"/>
  <c r="O303" i="21"/>
  <c r="Q303" i="21"/>
  <c r="A304" i="21"/>
  <c r="O304" i="21"/>
  <c r="Q304" i="21"/>
  <c r="A305" i="21"/>
  <c r="O305" i="21"/>
  <c r="Q305" i="21"/>
  <c r="A306" i="21"/>
  <c r="O306" i="21"/>
  <c r="Q306" i="21"/>
  <c r="A307" i="21"/>
  <c r="O307" i="21"/>
  <c r="Q307" i="21"/>
  <c r="A308" i="21"/>
  <c r="O308" i="21"/>
  <c r="Q308" i="21"/>
  <c r="A309" i="21"/>
  <c r="O309" i="21"/>
  <c r="Q309" i="21"/>
  <c r="A310" i="21"/>
  <c r="O310" i="21"/>
  <c r="Q310" i="21"/>
  <c r="A311" i="21"/>
  <c r="O311" i="21"/>
  <c r="Q311" i="21"/>
  <c r="A312" i="21"/>
  <c r="O312" i="21"/>
  <c r="Q312" i="21"/>
  <c r="A313" i="21"/>
  <c r="O313" i="21"/>
  <c r="Q313" i="21"/>
  <c r="A314" i="21"/>
  <c r="O314" i="21"/>
  <c r="Q314" i="21"/>
  <c r="A315" i="21"/>
  <c r="O315" i="21"/>
  <c r="Q315" i="21"/>
  <c r="A316" i="21"/>
  <c r="O316" i="21"/>
  <c r="Q316" i="21"/>
  <c r="A317" i="21"/>
  <c r="O317" i="21"/>
  <c r="Q317" i="21"/>
  <c r="A318" i="21"/>
  <c r="A319" i="21"/>
  <c r="A320" i="21"/>
  <c r="A321" i="21"/>
  <c r="O321" i="21"/>
  <c r="U321" i="21" s="1"/>
  <c r="Q321" i="21"/>
  <c r="W321" i="21" s="1"/>
  <c r="E322" i="21"/>
  <c r="X322" i="21"/>
  <c r="A323" i="21"/>
  <c r="O323" i="21"/>
  <c r="Q323" i="21"/>
  <c r="X342" i="21"/>
  <c r="X341" i="21"/>
  <c r="X340" i="21"/>
  <c r="X339" i="21"/>
  <c r="X338" i="21"/>
  <c r="X337" i="21"/>
  <c r="X336" i="21"/>
  <c r="X335" i="21"/>
  <c r="X334" i="21"/>
  <c r="X333" i="21"/>
  <c r="X332" i="21"/>
  <c r="X331" i="21"/>
  <c r="X330" i="21"/>
  <c r="X329" i="21"/>
  <c r="X328" i="21"/>
  <c r="X327" i="21"/>
  <c r="X326" i="21"/>
  <c r="X325" i="21"/>
  <c r="X324" i="21"/>
  <c r="X323" i="21"/>
  <c r="A324" i="21"/>
  <c r="O324" i="21"/>
  <c r="Q324" i="21"/>
  <c r="A325" i="21"/>
  <c r="O325" i="21"/>
  <c r="Q325" i="21"/>
  <c r="A326" i="21"/>
  <c r="O326" i="21"/>
  <c r="Q326" i="21"/>
  <c r="A327" i="21"/>
  <c r="O327" i="21"/>
  <c r="Q327" i="21"/>
  <c r="A328" i="21"/>
  <c r="O328" i="21"/>
  <c r="Q328" i="21"/>
  <c r="A329" i="21"/>
  <c r="O329" i="21"/>
  <c r="Q329" i="21"/>
  <c r="A330" i="21"/>
  <c r="O330" i="21"/>
  <c r="Q330" i="21"/>
  <c r="A331" i="21"/>
  <c r="O331" i="21"/>
  <c r="Q331" i="21"/>
  <c r="A332" i="21"/>
  <c r="O332" i="21"/>
  <c r="Q332" i="21"/>
  <c r="A333" i="21"/>
  <c r="O333" i="21"/>
  <c r="Q333" i="21"/>
  <c r="A334" i="21"/>
  <c r="O334" i="21"/>
  <c r="Q334" i="21"/>
  <c r="A335" i="21"/>
  <c r="O335" i="21"/>
  <c r="Q335" i="21"/>
  <c r="A336" i="21"/>
  <c r="O336" i="21"/>
  <c r="Q336" i="21"/>
  <c r="A337" i="21"/>
  <c r="O337" i="21"/>
  <c r="Q337" i="21"/>
  <c r="A338" i="21"/>
  <c r="O338" i="21"/>
  <c r="Q338" i="21"/>
  <c r="A339" i="21"/>
  <c r="A340" i="21"/>
  <c r="A341" i="21"/>
  <c r="A342" i="21"/>
  <c r="O342" i="21"/>
  <c r="U342" i="21" s="1"/>
  <c r="Q342" i="21"/>
  <c r="W342" i="21" s="1"/>
  <c r="E343" i="21"/>
  <c r="X343" i="21"/>
  <c r="A344" i="21"/>
  <c r="O344" i="21"/>
  <c r="Q344" i="21"/>
  <c r="X363" i="21"/>
  <c r="X362" i="21"/>
  <c r="X361" i="21"/>
  <c r="X360" i="21"/>
  <c r="X359" i="21"/>
  <c r="X358" i="21"/>
  <c r="X357" i="21"/>
  <c r="X356" i="21"/>
  <c r="X355" i="21"/>
  <c r="X354" i="21"/>
  <c r="X353" i="21"/>
  <c r="X352" i="21"/>
  <c r="X351" i="21"/>
  <c r="X350" i="21"/>
  <c r="X349" i="21"/>
  <c r="X348" i="21"/>
  <c r="X347" i="21"/>
  <c r="X346" i="21"/>
  <c r="X345" i="21"/>
  <c r="X344" i="21"/>
  <c r="A345" i="21"/>
  <c r="O345" i="21"/>
  <c r="Q345" i="21"/>
  <c r="A346" i="21"/>
  <c r="O346" i="21"/>
  <c r="Q346" i="21"/>
  <c r="A347" i="21"/>
  <c r="O347" i="21"/>
  <c r="Q347" i="21"/>
  <c r="A348" i="21"/>
  <c r="O348" i="21"/>
  <c r="Q348" i="21"/>
  <c r="A349" i="21"/>
  <c r="O349" i="21"/>
  <c r="Q349" i="21"/>
  <c r="A350" i="21"/>
  <c r="O350" i="21"/>
  <c r="Q350" i="21"/>
  <c r="A351" i="21"/>
  <c r="O351" i="21"/>
  <c r="Q351" i="21"/>
  <c r="A352" i="21"/>
  <c r="O352" i="21"/>
  <c r="Q352" i="21"/>
  <c r="A353" i="21"/>
  <c r="O353" i="21"/>
  <c r="Q353" i="21"/>
  <c r="A354" i="21"/>
  <c r="O354" i="21"/>
  <c r="Q354" i="21"/>
  <c r="A355" i="21"/>
  <c r="O355" i="21"/>
  <c r="Q355" i="21"/>
  <c r="A356" i="21"/>
  <c r="O356" i="21"/>
  <c r="Q356" i="21"/>
  <c r="A357" i="21"/>
  <c r="O357" i="21"/>
  <c r="Q357" i="21"/>
  <c r="A358" i="21"/>
  <c r="O358" i="21"/>
  <c r="Q358" i="21"/>
  <c r="A359" i="21"/>
  <c r="O359" i="21"/>
  <c r="Q359" i="21"/>
  <c r="A360" i="21"/>
  <c r="A361" i="21"/>
  <c r="A362" i="21"/>
  <c r="A363" i="21"/>
  <c r="O363" i="21"/>
  <c r="U363" i="21" s="1"/>
  <c r="Q363" i="21"/>
  <c r="W363" i="21" s="1"/>
  <c r="E364" i="21"/>
  <c r="X364" i="21"/>
  <c r="A365" i="21"/>
  <c r="O365" i="21"/>
  <c r="Q365" i="21"/>
  <c r="X384" i="21"/>
  <c r="X383" i="21"/>
  <c r="X382" i="21"/>
  <c r="X381" i="21"/>
  <c r="X380" i="21"/>
  <c r="X379" i="21"/>
  <c r="X378" i="21"/>
  <c r="X377" i="21"/>
  <c r="X376" i="21"/>
  <c r="X375" i="21"/>
  <c r="X374" i="21"/>
  <c r="X373" i="21"/>
  <c r="X372" i="21"/>
  <c r="X371" i="21"/>
  <c r="X370" i="21"/>
  <c r="X369" i="21"/>
  <c r="X368" i="21"/>
  <c r="X367" i="21"/>
  <c r="X366" i="21"/>
  <c r="X365" i="21"/>
  <c r="A366" i="21"/>
  <c r="O366" i="21"/>
  <c r="Q366" i="21"/>
  <c r="A367" i="21"/>
  <c r="O367" i="21"/>
  <c r="Q367" i="21"/>
  <c r="A368" i="21"/>
  <c r="O368" i="21"/>
  <c r="Q368" i="21"/>
  <c r="A369" i="21"/>
  <c r="O369" i="21"/>
  <c r="Q369" i="21"/>
  <c r="A370" i="21"/>
  <c r="O370" i="21"/>
  <c r="Q370" i="21"/>
  <c r="A371" i="21"/>
  <c r="O371" i="21"/>
  <c r="Q371" i="21"/>
  <c r="A372" i="21"/>
  <c r="O372" i="21"/>
  <c r="Q372" i="21"/>
  <c r="A373" i="21"/>
  <c r="O373" i="21"/>
  <c r="Q373" i="21"/>
  <c r="A374" i="21"/>
  <c r="O374" i="21"/>
  <c r="Q374" i="21"/>
  <c r="A375" i="21"/>
  <c r="O375" i="21"/>
  <c r="Q375" i="21"/>
  <c r="A376" i="21"/>
  <c r="O376" i="21"/>
  <c r="Q376" i="21"/>
  <c r="A377" i="21"/>
  <c r="O377" i="21"/>
  <c r="Q377" i="21"/>
  <c r="A378" i="21"/>
  <c r="O378" i="21"/>
  <c r="Q378" i="21"/>
  <c r="A379" i="21"/>
  <c r="O379" i="21"/>
  <c r="Q379" i="21"/>
  <c r="A380" i="21"/>
  <c r="O380" i="21"/>
  <c r="Q380" i="21"/>
  <c r="A381" i="21"/>
  <c r="A382" i="21"/>
  <c r="A383" i="21"/>
  <c r="A384" i="21"/>
  <c r="O384" i="21"/>
  <c r="U384" i="21" s="1"/>
  <c r="Q384" i="21"/>
  <c r="W384" i="21" s="1"/>
  <c r="E385" i="21"/>
  <c r="X385" i="21"/>
  <c r="A386" i="21"/>
  <c r="O386" i="21"/>
  <c r="Q386" i="21"/>
  <c r="X405" i="21"/>
  <c r="X404" i="21"/>
  <c r="X403" i="21"/>
  <c r="X402" i="21"/>
  <c r="X401" i="21"/>
  <c r="X400" i="21"/>
  <c r="X399" i="21"/>
  <c r="X398" i="21"/>
  <c r="X397" i="21"/>
  <c r="X396" i="21"/>
  <c r="X395" i="21"/>
  <c r="X394" i="21"/>
  <c r="X393" i="21"/>
  <c r="X392" i="21"/>
  <c r="X391" i="21"/>
  <c r="X390" i="21"/>
  <c r="X389" i="21"/>
  <c r="X388" i="21"/>
  <c r="X387" i="21"/>
  <c r="X386" i="21"/>
  <c r="A387" i="21"/>
  <c r="O387" i="21"/>
  <c r="Q387" i="21"/>
  <c r="A388" i="21"/>
  <c r="O388" i="21"/>
  <c r="Q388" i="21"/>
  <c r="A389" i="21"/>
  <c r="O389" i="21"/>
  <c r="Q389" i="21"/>
  <c r="A390" i="21"/>
  <c r="O390" i="21"/>
  <c r="Q390" i="21"/>
  <c r="A391" i="21"/>
  <c r="O391" i="21"/>
  <c r="Q391" i="21"/>
  <c r="A392" i="21"/>
  <c r="O392" i="21"/>
  <c r="Q392" i="21"/>
  <c r="A393" i="21"/>
  <c r="O393" i="21"/>
  <c r="Q393" i="21"/>
  <c r="A394" i="21"/>
  <c r="O394" i="21"/>
  <c r="Q394" i="21"/>
  <c r="A395" i="21"/>
  <c r="O395" i="21"/>
  <c r="Q395" i="21"/>
  <c r="A396" i="21"/>
  <c r="O396" i="21"/>
  <c r="Q396" i="21"/>
  <c r="A397" i="21"/>
  <c r="O397" i="21"/>
  <c r="Q397" i="21"/>
  <c r="A398" i="21"/>
  <c r="O398" i="21"/>
  <c r="Q398" i="21"/>
  <c r="A399" i="21"/>
  <c r="O399" i="21"/>
  <c r="Q399" i="21"/>
  <c r="A400" i="21"/>
  <c r="O400" i="21"/>
  <c r="Q400" i="21"/>
  <c r="A401" i="21"/>
  <c r="O401" i="21"/>
  <c r="Q401" i="21"/>
  <c r="A402" i="21"/>
  <c r="A403" i="21"/>
  <c r="A404" i="21"/>
  <c r="A405" i="21"/>
  <c r="O405" i="21"/>
  <c r="U405" i="21" s="1"/>
  <c r="Q405" i="21"/>
  <c r="W405" i="21" s="1"/>
  <c r="E406" i="21"/>
  <c r="X406" i="21"/>
  <c r="A407" i="21"/>
  <c r="O407" i="21"/>
  <c r="Q407" i="21"/>
  <c r="X426" i="21"/>
  <c r="X425" i="21"/>
  <c r="X424" i="21"/>
  <c r="X423" i="21"/>
  <c r="X422" i="21"/>
  <c r="X421" i="21"/>
  <c r="X420" i="21"/>
  <c r="X419" i="21"/>
  <c r="X418" i="21"/>
  <c r="X417" i="21"/>
  <c r="X416" i="21"/>
  <c r="X415" i="21"/>
  <c r="X414" i="21"/>
  <c r="X413" i="21"/>
  <c r="X412" i="21"/>
  <c r="X411" i="21"/>
  <c r="X410" i="21"/>
  <c r="X409" i="21"/>
  <c r="X408" i="21"/>
  <c r="X407" i="21"/>
  <c r="A408" i="21"/>
  <c r="O408" i="21"/>
  <c r="Q408" i="21"/>
  <c r="A409" i="21"/>
  <c r="O409" i="21"/>
  <c r="Q409" i="21"/>
  <c r="A410" i="21"/>
  <c r="O410" i="21"/>
  <c r="Q410" i="21"/>
  <c r="A411" i="21"/>
  <c r="O411" i="21"/>
  <c r="Q411" i="21"/>
  <c r="A412" i="21"/>
  <c r="O412" i="21"/>
  <c r="Q412" i="21"/>
  <c r="A413" i="21"/>
  <c r="O413" i="21"/>
  <c r="Q413" i="21"/>
  <c r="A414" i="21"/>
  <c r="O414" i="21"/>
  <c r="Q414" i="21"/>
  <c r="A415" i="21"/>
  <c r="O415" i="21"/>
  <c r="Q415" i="21"/>
  <c r="A416" i="21"/>
  <c r="O416" i="21"/>
  <c r="Q416" i="21"/>
  <c r="A417" i="21"/>
  <c r="O417" i="21"/>
  <c r="Q417" i="21"/>
  <c r="A418" i="21"/>
  <c r="O418" i="21"/>
  <c r="Q418" i="21"/>
  <c r="A419" i="21"/>
  <c r="O419" i="21"/>
  <c r="Q419" i="21"/>
  <c r="A420" i="21"/>
  <c r="O420" i="21"/>
  <c r="Q420" i="21"/>
  <c r="A421" i="21"/>
  <c r="O421" i="21"/>
  <c r="Q421" i="21"/>
  <c r="A422" i="21"/>
  <c r="O422" i="21"/>
  <c r="Q422" i="21"/>
  <c r="A423" i="21"/>
  <c r="A424" i="21"/>
  <c r="A425" i="21"/>
  <c r="A426" i="21"/>
  <c r="O426" i="21"/>
  <c r="U426" i="21" s="1"/>
  <c r="Q426" i="21"/>
  <c r="W426" i="21" s="1"/>
  <c r="E427" i="21"/>
  <c r="X427" i="21"/>
  <c r="A8" i="20"/>
  <c r="O8" i="20"/>
  <c r="Q8" i="20"/>
  <c r="X27" i="20"/>
  <c r="X26" i="20"/>
  <c r="X25" i="20"/>
  <c r="X24" i="20"/>
  <c r="X23" i="20"/>
  <c r="X22" i="20"/>
  <c r="X21" i="20"/>
  <c r="X20" i="20"/>
  <c r="X19" i="20"/>
  <c r="X18" i="20"/>
  <c r="X17" i="20"/>
  <c r="X16" i="20"/>
  <c r="X15" i="20"/>
  <c r="X14" i="20"/>
  <c r="X13" i="20"/>
  <c r="X12" i="20"/>
  <c r="X11" i="20"/>
  <c r="X10" i="20"/>
  <c r="X9" i="20"/>
  <c r="X8" i="20"/>
  <c r="A9" i="20"/>
  <c r="O9" i="20"/>
  <c r="Q9" i="20"/>
  <c r="A10" i="20"/>
  <c r="O10" i="20"/>
  <c r="Q10" i="20"/>
  <c r="A11" i="20"/>
  <c r="O11" i="20"/>
  <c r="Q11" i="20"/>
  <c r="A12" i="20"/>
  <c r="O12" i="20"/>
  <c r="Q12" i="20"/>
  <c r="A13" i="20"/>
  <c r="O13" i="20"/>
  <c r="Q13" i="20"/>
  <c r="A14" i="20"/>
  <c r="O14" i="20"/>
  <c r="Q14" i="20"/>
  <c r="A15" i="20"/>
  <c r="O15" i="20"/>
  <c r="Q15" i="20"/>
  <c r="A16" i="20"/>
  <c r="O16" i="20"/>
  <c r="Q16" i="20"/>
  <c r="A17" i="20"/>
  <c r="O17" i="20"/>
  <c r="Q17" i="20"/>
  <c r="A18" i="20"/>
  <c r="O18" i="20"/>
  <c r="Q18" i="20"/>
  <c r="A19" i="20"/>
  <c r="O19" i="20"/>
  <c r="Q19" i="20"/>
  <c r="A20" i="20"/>
  <c r="O20" i="20"/>
  <c r="Q20" i="20"/>
  <c r="A21" i="20"/>
  <c r="O21" i="20"/>
  <c r="Q21" i="20"/>
  <c r="A22" i="20"/>
  <c r="O22" i="20"/>
  <c r="Q22" i="20"/>
  <c r="A23" i="20"/>
  <c r="O23" i="20"/>
  <c r="Q23" i="20"/>
  <c r="A24" i="20"/>
  <c r="A25" i="20"/>
  <c r="A26" i="20"/>
  <c r="A27" i="20"/>
  <c r="O27" i="20"/>
  <c r="U27" i="20" s="1"/>
  <c r="Q27" i="20"/>
  <c r="W27" i="20" s="1"/>
  <c r="E28" i="20"/>
  <c r="X28" i="20"/>
  <c r="A29" i="20"/>
  <c r="O29" i="20"/>
  <c r="Q29" i="20"/>
  <c r="X48" i="20"/>
  <c r="X47" i="20"/>
  <c r="X46" i="20"/>
  <c r="X45" i="20"/>
  <c r="X44" i="20"/>
  <c r="X43" i="20"/>
  <c r="X42" i="20"/>
  <c r="X41" i="20"/>
  <c r="X40" i="20"/>
  <c r="X39" i="20"/>
  <c r="X38" i="20"/>
  <c r="X37" i="20"/>
  <c r="X36" i="20"/>
  <c r="X35" i="20"/>
  <c r="X34" i="20"/>
  <c r="X33" i="20"/>
  <c r="X32" i="20"/>
  <c r="X31" i="20"/>
  <c r="X30" i="20"/>
  <c r="X29" i="20"/>
  <c r="A30" i="20"/>
  <c r="O30" i="20"/>
  <c r="Q30" i="20"/>
  <c r="A31" i="20"/>
  <c r="O31" i="20"/>
  <c r="Q31" i="20"/>
  <c r="A32" i="20"/>
  <c r="O32" i="20"/>
  <c r="Q32" i="20"/>
  <c r="A33" i="20"/>
  <c r="O33" i="20"/>
  <c r="Q33" i="20"/>
  <c r="A34" i="20"/>
  <c r="O34" i="20"/>
  <c r="Q34" i="20"/>
  <c r="A35" i="20"/>
  <c r="O35" i="20"/>
  <c r="Q35" i="20"/>
  <c r="A36" i="20"/>
  <c r="O36" i="20"/>
  <c r="Q36" i="20"/>
  <c r="A37" i="20"/>
  <c r="O37" i="20"/>
  <c r="Q37" i="20"/>
  <c r="A38" i="20"/>
  <c r="O38" i="20"/>
  <c r="Q38" i="20"/>
  <c r="A39" i="20"/>
  <c r="O39" i="20"/>
  <c r="Q39" i="20"/>
  <c r="A40" i="20"/>
  <c r="O40" i="20"/>
  <c r="Q40" i="20"/>
  <c r="A41" i="20"/>
  <c r="O41" i="20"/>
  <c r="Q41" i="20"/>
  <c r="A42" i="20"/>
  <c r="O42" i="20"/>
  <c r="Q42" i="20"/>
  <c r="A43" i="20"/>
  <c r="O43" i="20"/>
  <c r="Q43" i="20"/>
  <c r="A44" i="20"/>
  <c r="O44" i="20"/>
  <c r="Q44" i="20"/>
  <c r="A45" i="20"/>
  <c r="A46" i="20"/>
  <c r="A47" i="20"/>
  <c r="A48" i="20"/>
  <c r="O48" i="20"/>
  <c r="U48" i="20" s="1"/>
  <c r="Q48" i="20"/>
  <c r="W48" i="20" s="1"/>
  <c r="E49" i="20"/>
  <c r="X49" i="20"/>
  <c r="A50" i="20"/>
  <c r="O50" i="20"/>
  <c r="Q50" i="20"/>
  <c r="X69" i="20"/>
  <c r="X68" i="20"/>
  <c r="X67" i="20"/>
  <c r="X66" i="20"/>
  <c r="X65" i="20"/>
  <c r="X64" i="20"/>
  <c r="X63" i="20"/>
  <c r="X62" i="20"/>
  <c r="X61" i="20"/>
  <c r="X60" i="20"/>
  <c r="X59" i="20"/>
  <c r="X58" i="20"/>
  <c r="X57" i="20"/>
  <c r="X56" i="20"/>
  <c r="X55" i="20"/>
  <c r="X54" i="20"/>
  <c r="X53" i="20"/>
  <c r="X52" i="20"/>
  <c r="X51" i="20"/>
  <c r="X50" i="20"/>
  <c r="A51" i="20"/>
  <c r="O51" i="20"/>
  <c r="Q51" i="20"/>
  <c r="A52" i="20"/>
  <c r="O52" i="20"/>
  <c r="Q52" i="20"/>
  <c r="A53" i="20"/>
  <c r="O53" i="20"/>
  <c r="Q53" i="20"/>
  <c r="A54" i="20"/>
  <c r="O54" i="20"/>
  <c r="Q54" i="20"/>
  <c r="A55" i="20"/>
  <c r="O55" i="20"/>
  <c r="Q55" i="20"/>
  <c r="A56" i="20"/>
  <c r="O56" i="20"/>
  <c r="Q56" i="20"/>
  <c r="A57" i="20"/>
  <c r="O57" i="20"/>
  <c r="Q57" i="20"/>
  <c r="A58" i="20"/>
  <c r="O58" i="20"/>
  <c r="Q58" i="20"/>
  <c r="A59" i="20"/>
  <c r="O59" i="20"/>
  <c r="Q59" i="20"/>
  <c r="A60" i="20"/>
  <c r="O60" i="20"/>
  <c r="Q60" i="20"/>
  <c r="A61" i="20"/>
  <c r="O61" i="20"/>
  <c r="Q61" i="20"/>
  <c r="A62" i="20"/>
  <c r="O62" i="20"/>
  <c r="Q62" i="20"/>
  <c r="A63" i="20"/>
  <c r="O63" i="20"/>
  <c r="Q63" i="20"/>
  <c r="A64" i="20"/>
  <c r="O64" i="20"/>
  <c r="Q64" i="20"/>
  <c r="A65" i="20"/>
  <c r="O65" i="20"/>
  <c r="Q65" i="20"/>
  <c r="A66" i="20"/>
  <c r="A67" i="20"/>
  <c r="A68" i="20"/>
  <c r="A69" i="20"/>
  <c r="O69" i="20"/>
  <c r="U69" i="20" s="1"/>
  <c r="Q69" i="20"/>
  <c r="W69" i="20" s="1"/>
  <c r="E70" i="20"/>
  <c r="X70" i="20"/>
  <c r="A71" i="20"/>
  <c r="O71" i="20"/>
  <c r="Q71" i="20"/>
  <c r="X90" i="20"/>
  <c r="X89" i="20"/>
  <c r="X88" i="20"/>
  <c r="X87" i="20"/>
  <c r="X86" i="20"/>
  <c r="X85" i="20"/>
  <c r="X84" i="20"/>
  <c r="X83" i="20"/>
  <c r="X82" i="20"/>
  <c r="X81" i="20"/>
  <c r="X80" i="20"/>
  <c r="X79" i="20"/>
  <c r="X78" i="20"/>
  <c r="X77" i="20"/>
  <c r="X76" i="20"/>
  <c r="X75" i="20"/>
  <c r="X74" i="20"/>
  <c r="X73" i="20"/>
  <c r="X72" i="20"/>
  <c r="X71" i="20"/>
  <c r="A72" i="20"/>
  <c r="O72" i="20"/>
  <c r="Q72" i="20"/>
  <c r="A73" i="20"/>
  <c r="O73" i="20"/>
  <c r="Q73" i="20"/>
  <c r="A74" i="20"/>
  <c r="O74" i="20"/>
  <c r="Q74" i="20"/>
  <c r="A75" i="20"/>
  <c r="O75" i="20"/>
  <c r="Q75" i="20"/>
  <c r="A76" i="20"/>
  <c r="O76" i="20"/>
  <c r="Q76" i="20"/>
  <c r="A77" i="20"/>
  <c r="O77" i="20"/>
  <c r="Q77" i="20"/>
  <c r="A78" i="20"/>
  <c r="O78" i="20"/>
  <c r="Q78" i="20"/>
  <c r="A79" i="20"/>
  <c r="O79" i="20"/>
  <c r="Q79" i="20"/>
  <c r="A80" i="20"/>
  <c r="O80" i="20"/>
  <c r="Q80" i="20"/>
  <c r="A81" i="20"/>
  <c r="O81" i="20"/>
  <c r="Q81" i="20"/>
  <c r="A82" i="20"/>
  <c r="O82" i="20"/>
  <c r="Q82" i="20"/>
  <c r="A83" i="20"/>
  <c r="O83" i="20"/>
  <c r="Q83" i="20"/>
  <c r="A84" i="20"/>
  <c r="O84" i="20"/>
  <c r="Q84" i="20"/>
  <c r="A85" i="20"/>
  <c r="O85" i="20"/>
  <c r="Q85" i="20"/>
  <c r="A86" i="20"/>
  <c r="O86" i="20"/>
  <c r="Q86" i="20"/>
  <c r="A87" i="20"/>
  <c r="A88" i="20"/>
  <c r="A89" i="20"/>
  <c r="A90" i="20"/>
  <c r="O90" i="20"/>
  <c r="U90" i="20" s="1"/>
  <c r="Q90" i="20"/>
  <c r="W90" i="20" s="1"/>
  <c r="E91" i="20"/>
  <c r="X91" i="20"/>
  <c r="A92" i="20"/>
  <c r="O92" i="20"/>
  <c r="Q92" i="20"/>
  <c r="X111" i="20"/>
  <c r="X110" i="20"/>
  <c r="X109" i="20"/>
  <c r="X108" i="20"/>
  <c r="X107" i="20"/>
  <c r="X106" i="20"/>
  <c r="X105" i="20"/>
  <c r="X104" i="20"/>
  <c r="X103" i="20"/>
  <c r="X102" i="20"/>
  <c r="X101" i="20"/>
  <c r="X100" i="20"/>
  <c r="X99" i="20"/>
  <c r="X98" i="20"/>
  <c r="X97" i="20"/>
  <c r="X96" i="20"/>
  <c r="X95" i="20"/>
  <c r="X94" i="20"/>
  <c r="X93" i="20"/>
  <c r="X92" i="20"/>
  <c r="A93" i="20"/>
  <c r="O93" i="20"/>
  <c r="Q93" i="20"/>
  <c r="A94" i="20"/>
  <c r="O94" i="20"/>
  <c r="Q94" i="20"/>
  <c r="A95" i="20"/>
  <c r="O95" i="20"/>
  <c r="Q95" i="20"/>
  <c r="A96" i="20"/>
  <c r="O96" i="20"/>
  <c r="Q96" i="20"/>
  <c r="A97" i="20"/>
  <c r="O97" i="20"/>
  <c r="Q97" i="20"/>
  <c r="A98" i="20"/>
  <c r="O98" i="20"/>
  <c r="Q98" i="20"/>
  <c r="A99" i="20"/>
  <c r="O99" i="20"/>
  <c r="Q99" i="20"/>
  <c r="A100" i="20"/>
  <c r="O100" i="20"/>
  <c r="Q100" i="20"/>
  <c r="A101" i="20"/>
  <c r="O101" i="20"/>
  <c r="Q101" i="20"/>
  <c r="A102" i="20"/>
  <c r="O102" i="20"/>
  <c r="Q102" i="20"/>
  <c r="A103" i="20"/>
  <c r="O103" i="20"/>
  <c r="Q103" i="20"/>
  <c r="A104" i="20"/>
  <c r="O104" i="20"/>
  <c r="Q104" i="20"/>
  <c r="A105" i="20"/>
  <c r="O105" i="20"/>
  <c r="Q105" i="20"/>
  <c r="A106" i="20"/>
  <c r="O106" i="20"/>
  <c r="Q106" i="20"/>
  <c r="A107" i="20"/>
  <c r="O107" i="20"/>
  <c r="Q107" i="20"/>
  <c r="A108" i="20"/>
  <c r="A109" i="20"/>
  <c r="A110" i="20"/>
  <c r="A111" i="20"/>
  <c r="O111" i="20"/>
  <c r="U111" i="20" s="1"/>
  <c r="Q111" i="20"/>
  <c r="W111" i="20" s="1"/>
  <c r="E112" i="20"/>
  <c r="X112" i="20"/>
  <c r="A113" i="20"/>
  <c r="O113" i="20"/>
  <c r="Q113" i="20"/>
  <c r="X132" i="20"/>
  <c r="X131" i="20"/>
  <c r="X130" i="20"/>
  <c r="X129" i="20"/>
  <c r="X128" i="20"/>
  <c r="X127" i="20"/>
  <c r="X126" i="20"/>
  <c r="X125" i="20"/>
  <c r="X124" i="20"/>
  <c r="X123" i="20"/>
  <c r="X122" i="20"/>
  <c r="X121" i="20"/>
  <c r="X120" i="20"/>
  <c r="X119" i="20"/>
  <c r="X118" i="20"/>
  <c r="X117" i="20"/>
  <c r="X116" i="20"/>
  <c r="X115" i="20"/>
  <c r="X114" i="20"/>
  <c r="X113" i="20"/>
  <c r="A114" i="20"/>
  <c r="O114" i="20"/>
  <c r="Q114" i="20"/>
  <c r="A115" i="20"/>
  <c r="O115" i="20"/>
  <c r="Q115" i="20"/>
  <c r="A116" i="20"/>
  <c r="O116" i="20"/>
  <c r="Q116" i="20"/>
  <c r="A117" i="20"/>
  <c r="O117" i="20"/>
  <c r="Q117" i="20"/>
  <c r="A118" i="20"/>
  <c r="O118" i="20"/>
  <c r="Q118" i="20"/>
  <c r="A119" i="20"/>
  <c r="O119" i="20"/>
  <c r="Q119" i="20"/>
  <c r="A120" i="20"/>
  <c r="O120" i="20"/>
  <c r="Q120" i="20"/>
  <c r="A121" i="20"/>
  <c r="O121" i="20"/>
  <c r="Q121" i="20"/>
  <c r="A122" i="20"/>
  <c r="O122" i="20"/>
  <c r="Q122" i="20"/>
  <c r="A123" i="20"/>
  <c r="O123" i="20"/>
  <c r="Q123" i="20"/>
  <c r="A124" i="20"/>
  <c r="O124" i="20"/>
  <c r="Q124" i="20"/>
  <c r="A125" i="20"/>
  <c r="O125" i="20"/>
  <c r="Q125" i="20"/>
  <c r="A126" i="20"/>
  <c r="O126" i="20"/>
  <c r="Q126" i="20"/>
  <c r="A127" i="20"/>
  <c r="O127" i="20"/>
  <c r="Q127" i="20"/>
  <c r="A128" i="20"/>
  <c r="O128" i="20"/>
  <c r="Q128" i="20"/>
  <c r="A129" i="20"/>
  <c r="A130" i="20"/>
  <c r="A131" i="20"/>
  <c r="A132" i="20"/>
  <c r="O132" i="20"/>
  <c r="U132" i="20" s="1"/>
  <c r="Q132" i="20"/>
  <c r="W132" i="20" s="1"/>
  <c r="E133" i="20"/>
  <c r="X133" i="20"/>
  <c r="A134" i="20"/>
  <c r="O134" i="20"/>
  <c r="Q134" i="20"/>
  <c r="X153" i="20"/>
  <c r="X152" i="20"/>
  <c r="X151" i="20"/>
  <c r="X150" i="20"/>
  <c r="X149" i="20"/>
  <c r="X148" i="20"/>
  <c r="X147" i="20"/>
  <c r="X146" i="20"/>
  <c r="X145" i="20"/>
  <c r="X144" i="20"/>
  <c r="X143" i="20"/>
  <c r="X142" i="20"/>
  <c r="X141" i="20"/>
  <c r="X140" i="20"/>
  <c r="X139" i="20"/>
  <c r="X138" i="20"/>
  <c r="X137" i="20"/>
  <c r="X136" i="20"/>
  <c r="X135" i="20"/>
  <c r="X134" i="20"/>
  <c r="A135" i="20"/>
  <c r="O135" i="20"/>
  <c r="Q135" i="20"/>
  <c r="A136" i="20"/>
  <c r="O136" i="20"/>
  <c r="Q136" i="20"/>
  <c r="A137" i="20"/>
  <c r="O137" i="20"/>
  <c r="Q137" i="20"/>
  <c r="A138" i="20"/>
  <c r="O138" i="20"/>
  <c r="Q138" i="20"/>
  <c r="A139" i="20"/>
  <c r="O139" i="20"/>
  <c r="Q139" i="20"/>
  <c r="A140" i="20"/>
  <c r="O140" i="20"/>
  <c r="Q140" i="20"/>
  <c r="A141" i="20"/>
  <c r="O141" i="20"/>
  <c r="Q141" i="20"/>
  <c r="A142" i="20"/>
  <c r="O142" i="20"/>
  <c r="Q142" i="20"/>
  <c r="A143" i="20"/>
  <c r="O143" i="20"/>
  <c r="Q143" i="20"/>
  <c r="A144" i="20"/>
  <c r="O144" i="20"/>
  <c r="Q144" i="20"/>
  <c r="A145" i="20"/>
  <c r="O145" i="20"/>
  <c r="Q145" i="20"/>
  <c r="A146" i="20"/>
  <c r="O146" i="20"/>
  <c r="Q146" i="20"/>
  <c r="A147" i="20"/>
  <c r="O147" i="20"/>
  <c r="Q147" i="20"/>
  <c r="A148" i="20"/>
  <c r="O148" i="20"/>
  <c r="Q148" i="20"/>
  <c r="A149" i="20"/>
  <c r="O149" i="20"/>
  <c r="Q149" i="20"/>
  <c r="A150" i="20"/>
  <c r="A151" i="20"/>
  <c r="A152" i="20"/>
  <c r="A153" i="20"/>
  <c r="O153" i="20"/>
  <c r="U153" i="20" s="1"/>
  <c r="Q153" i="20"/>
  <c r="W153" i="20" s="1"/>
  <c r="E154" i="20"/>
  <c r="X154" i="20"/>
  <c r="A155" i="20"/>
  <c r="O155" i="20"/>
  <c r="Q155" i="20"/>
  <c r="X174" i="20"/>
  <c r="X173" i="20"/>
  <c r="X172" i="20"/>
  <c r="X171" i="20"/>
  <c r="X170" i="20"/>
  <c r="X169" i="20"/>
  <c r="X168" i="20"/>
  <c r="X167" i="20"/>
  <c r="X166" i="20"/>
  <c r="X165" i="20"/>
  <c r="X164" i="20"/>
  <c r="X163" i="20"/>
  <c r="X162" i="20"/>
  <c r="X161" i="20"/>
  <c r="X160" i="20"/>
  <c r="X159" i="20"/>
  <c r="X158" i="20"/>
  <c r="X157" i="20"/>
  <c r="X156" i="20"/>
  <c r="X155" i="20"/>
  <c r="A156" i="20"/>
  <c r="O156" i="20"/>
  <c r="Q156" i="20"/>
  <c r="A157" i="20"/>
  <c r="O157" i="20"/>
  <c r="Q157" i="20"/>
  <c r="A158" i="20"/>
  <c r="O158" i="20"/>
  <c r="Q158" i="20"/>
  <c r="A159" i="20"/>
  <c r="O159" i="20"/>
  <c r="Q159" i="20"/>
  <c r="A160" i="20"/>
  <c r="O160" i="20"/>
  <c r="Q160" i="20"/>
  <c r="A161" i="20"/>
  <c r="O161" i="20"/>
  <c r="Q161" i="20"/>
  <c r="A162" i="20"/>
  <c r="O162" i="20"/>
  <c r="Q162" i="20"/>
  <c r="A163" i="20"/>
  <c r="O163" i="20"/>
  <c r="Q163" i="20"/>
  <c r="A164" i="20"/>
  <c r="O164" i="20"/>
  <c r="Q164" i="20"/>
  <c r="A165" i="20"/>
  <c r="O165" i="20"/>
  <c r="Q165" i="20"/>
  <c r="A166" i="20"/>
  <c r="O166" i="20"/>
  <c r="Q166" i="20"/>
  <c r="A167" i="20"/>
  <c r="O167" i="20"/>
  <c r="Q167" i="20"/>
  <c r="A168" i="20"/>
  <c r="O168" i="20"/>
  <c r="Q168" i="20"/>
  <c r="A169" i="20"/>
  <c r="O169" i="20"/>
  <c r="Q169" i="20"/>
  <c r="A170" i="20"/>
  <c r="O170" i="20"/>
  <c r="Q170" i="20"/>
  <c r="A171" i="20"/>
  <c r="A172" i="20"/>
  <c r="A173" i="20"/>
  <c r="A174" i="20"/>
  <c r="O174" i="20"/>
  <c r="U174" i="20" s="1"/>
  <c r="Q174" i="20"/>
  <c r="W174" i="20" s="1"/>
  <c r="E175" i="20"/>
  <c r="X175" i="20"/>
  <c r="A176" i="20"/>
  <c r="O176" i="20"/>
  <c r="Q176" i="20"/>
  <c r="X195" i="20"/>
  <c r="X194" i="20"/>
  <c r="X193" i="20"/>
  <c r="X192" i="20"/>
  <c r="X191" i="20"/>
  <c r="X190" i="20"/>
  <c r="X189" i="20"/>
  <c r="X188" i="20"/>
  <c r="X187" i="20"/>
  <c r="X186" i="20"/>
  <c r="X185" i="20"/>
  <c r="X184" i="20"/>
  <c r="X183" i="20"/>
  <c r="X182" i="20"/>
  <c r="X181" i="20"/>
  <c r="X180" i="20"/>
  <c r="X179" i="20"/>
  <c r="X178" i="20"/>
  <c r="X177" i="20"/>
  <c r="X176" i="20"/>
  <c r="A177" i="20"/>
  <c r="O177" i="20"/>
  <c r="Q177" i="20"/>
  <c r="A178" i="20"/>
  <c r="O178" i="20"/>
  <c r="Q178" i="20"/>
  <c r="A179" i="20"/>
  <c r="O179" i="20"/>
  <c r="Q179" i="20"/>
  <c r="A180" i="20"/>
  <c r="O180" i="20"/>
  <c r="Q180" i="20"/>
  <c r="A181" i="20"/>
  <c r="O181" i="20"/>
  <c r="Q181" i="20"/>
  <c r="A182" i="20"/>
  <c r="O182" i="20"/>
  <c r="Q182" i="20"/>
  <c r="A183" i="20"/>
  <c r="O183" i="20"/>
  <c r="Q183" i="20"/>
  <c r="A184" i="20"/>
  <c r="O184" i="20"/>
  <c r="Q184" i="20"/>
  <c r="A185" i="20"/>
  <c r="O185" i="20"/>
  <c r="Q185" i="20"/>
  <c r="A186" i="20"/>
  <c r="O186" i="20"/>
  <c r="Q186" i="20"/>
  <c r="A187" i="20"/>
  <c r="O187" i="20"/>
  <c r="Q187" i="20"/>
  <c r="A188" i="20"/>
  <c r="O188" i="20"/>
  <c r="Q188" i="20"/>
  <c r="A189" i="20"/>
  <c r="O189" i="20"/>
  <c r="Q189" i="20"/>
  <c r="A190" i="20"/>
  <c r="O190" i="20"/>
  <c r="Q190" i="20"/>
  <c r="A191" i="20"/>
  <c r="O191" i="20"/>
  <c r="Q191" i="20"/>
  <c r="A192" i="20"/>
  <c r="A193" i="20"/>
  <c r="A194" i="20"/>
  <c r="A195" i="20"/>
  <c r="O195" i="20"/>
  <c r="U195" i="20" s="1"/>
  <c r="Q195" i="20"/>
  <c r="W195" i="20" s="1"/>
  <c r="E196" i="20"/>
  <c r="X196" i="20"/>
  <c r="A197" i="20"/>
  <c r="O197" i="20"/>
  <c r="Q197" i="20"/>
  <c r="X216" i="20"/>
  <c r="X215" i="20"/>
  <c r="X214" i="20"/>
  <c r="X213" i="20"/>
  <c r="X212" i="20"/>
  <c r="X211" i="20"/>
  <c r="X210" i="20"/>
  <c r="X209" i="20"/>
  <c r="X208" i="20"/>
  <c r="X207" i="20"/>
  <c r="X206" i="20"/>
  <c r="X205" i="20"/>
  <c r="X204" i="20"/>
  <c r="X203" i="20"/>
  <c r="X202" i="20"/>
  <c r="X201" i="20"/>
  <c r="X200" i="20"/>
  <c r="X199" i="20"/>
  <c r="X198" i="20"/>
  <c r="X197" i="20"/>
  <c r="A198" i="20"/>
  <c r="O198" i="20"/>
  <c r="Q198" i="20"/>
  <c r="A199" i="20"/>
  <c r="O199" i="20"/>
  <c r="Q199" i="20"/>
  <c r="A200" i="20"/>
  <c r="O200" i="20"/>
  <c r="Q200" i="20"/>
  <c r="A201" i="20"/>
  <c r="O201" i="20"/>
  <c r="Q201" i="20"/>
  <c r="A202" i="20"/>
  <c r="O202" i="20"/>
  <c r="Q202" i="20"/>
  <c r="A203" i="20"/>
  <c r="O203" i="20"/>
  <c r="Q203" i="20"/>
  <c r="A204" i="20"/>
  <c r="O204" i="20"/>
  <c r="Q204" i="20"/>
  <c r="A205" i="20"/>
  <c r="O205" i="20"/>
  <c r="Q205" i="20"/>
  <c r="A206" i="20"/>
  <c r="O206" i="20"/>
  <c r="Q206" i="20"/>
  <c r="A207" i="20"/>
  <c r="O207" i="20"/>
  <c r="Q207" i="20"/>
  <c r="A208" i="20"/>
  <c r="O208" i="20"/>
  <c r="Q208" i="20"/>
  <c r="A209" i="20"/>
  <c r="O209" i="20"/>
  <c r="Q209" i="20"/>
  <c r="A210" i="20"/>
  <c r="O210" i="20"/>
  <c r="Q210" i="20"/>
  <c r="A211" i="20"/>
  <c r="O211" i="20"/>
  <c r="Q211" i="20"/>
  <c r="A212" i="20"/>
  <c r="O212" i="20"/>
  <c r="Q212" i="20"/>
  <c r="A213" i="20"/>
  <c r="A214" i="20"/>
  <c r="A215" i="20"/>
  <c r="A216" i="20"/>
  <c r="O216" i="20"/>
  <c r="U216" i="20" s="1"/>
  <c r="Q216" i="20"/>
  <c r="W216" i="20" s="1"/>
  <c r="E217" i="20"/>
  <c r="X217" i="20"/>
  <c r="A218" i="20"/>
  <c r="O218" i="20"/>
  <c r="Q218" i="20"/>
  <c r="X237" i="20"/>
  <c r="X236" i="20"/>
  <c r="X235" i="20"/>
  <c r="X234" i="20"/>
  <c r="X233" i="20"/>
  <c r="X232" i="20"/>
  <c r="X231" i="20"/>
  <c r="X230" i="20"/>
  <c r="X229" i="20"/>
  <c r="X228" i="20"/>
  <c r="X227" i="20"/>
  <c r="X226" i="20"/>
  <c r="X225" i="20"/>
  <c r="X224" i="20"/>
  <c r="X223" i="20"/>
  <c r="X222" i="20"/>
  <c r="X221" i="20"/>
  <c r="X220" i="20"/>
  <c r="X219" i="20"/>
  <c r="X218" i="20"/>
  <c r="A219" i="20"/>
  <c r="O219" i="20"/>
  <c r="Q219" i="20"/>
  <c r="A220" i="20"/>
  <c r="O220" i="20"/>
  <c r="Q220" i="20"/>
  <c r="A221" i="20"/>
  <c r="O221" i="20"/>
  <c r="Q221" i="20"/>
  <c r="A222" i="20"/>
  <c r="O222" i="20"/>
  <c r="Q222" i="20"/>
  <c r="A223" i="20"/>
  <c r="O223" i="20"/>
  <c r="Q223" i="20"/>
  <c r="A224" i="20"/>
  <c r="O224" i="20"/>
  <c r="Q224" i="20"/>
  <c r="A225" i="20"/>
  <c r="O225" i="20"/>
  <c r="Q225" i="20"/>
  <c r="A226" i="20"/>
  <c r="O226" i="20"/>
  <c r="Q226" i="20"/>
  <c r="A227" i="20"/>
  <c r="O227" i="20"/>
  <c r="Q227" i="20"/>
  <c r="A228" i="20"/>
  <c r="O228" i="20"/>
  <c r="Q228" i="20"/>
  <c r="A229" i="20"/>
  <c r="O229" i="20"/>
  <c r="Q229" i="20"/>
  <c r="A230" i="20"/>
  <c r="O230" i="20"/>
  <c r="Q230" i="20"/>
  <c r="A231" i="20"/>
  <c r="O231" i="20"/>
  <c r="Q231" i="20"/>
  <c r="A232" i="20"/>
  <c r="O232" i="20"/>
  <c r="Q232" i="20"/>
  <c r="A233" i="20"/>
  <c r="O233" i="20"/>
  <c r="Q233" i="20"/>
  <c r="A234" i="20"/>
  <c r="A235" i="20"/>
  <c r="A236" i="20"/>
  <c r="A237" i="20"/>
  <c r="O237" i="20"/>
  <c r="U237" i="20" s="1"/>
  <c r="Q237" i="20"/>
  <c r="W237" i="20" s="1"/>
  <c r="E238" i="20"/>
  <c r="X238" i="20"/>
  <c r="A239" i="20"/>
  <c r="O239" i="20"/>
  <c r="Q239" i="20"/>
  <c r="X258" i="20"/>
  <c r="X257" i="20"/>
  <c r="X256" i="20"/>
  <c r="X255" i="20"/>
  <c r="X254" i="20"/>
  <c r="X253" i="20"/>
  <c r="X252" i="20"/>
  <c r="X251" i="20"/>
  <c r="X250" i="20"/>
  <c r="X249" i="20"/>
  <c r="X248" i="20"/>
  <c r="X247" i="20"/>
  <c r="X246" i="20"/>
  <c r="X245" i="20"/>
  <c r="X244" i="20"/>
  <c r="X243" i="20"/>
  <c r="X242" i="20"/>
  <c r="X241" i="20"/>
  <c r="X240" i="20"/>
  <c r="X239" i="20"/>
  <c r="A240" i="20"/>
  <c r="O240" i="20"/>
  <c r="Q240" i="20"/>
  <c r="A241" i="20"/>
  <c r="O241" i="20"/>
  <c r="Q241" i="20"/>
  <c r="A242" i="20"/>
  <c r="O242" i="20"/>
  <c r="Q242" i="20"/>
  <c r="A243" i="20"/>
  <c r="O243" i="20"/>
  <c r="Q243" i="20"/>
  <c r="A244" i="20"/>
  <c r="O244" i="20"/>
  <c r="Q244" i="20"/>
  <c r="A245" i="20"/>
  <c r="O245" i="20"/>
  <c r="Q245" i="20"/>
  <c r="A246" i="20"/>
  <c r="O246" i="20"/>
  <c r="Q246" i="20"/>
  <c r="A247" i="20"/>
  <c r="O247" i="20"/>
  <c r="Q247" i="20"/>
  <c r="A248" i="20"/>
  <c r="O248" i="20"/>
  <c r="Q248" i="20"/>
  <c r="A249" i="20"/>
  <c r="O249" i="20"/>
  <c r="Q249" i="20"/>
  <c r="A250" i="20"/>
  <c r="O250" i="20"/>
  <c r="Q250" i="20"/>
  <c r="A251" i="20"/>
  <c r="O251" i="20"/>
  <c r="Q251" i="20"/>
  <c r="A252" i="20"/>
  <c r="O252" i="20"/>
  <c r="Q252" i="20"/>
  <c r="A253" i="20"/>
  <c r="O253" i="20"/>
  <c r="Q253" i="20"/>
  <c r="A254" i="20"/>
  <c r="O254" i="20"/>
  <c r="Q254" i="20"/>
  <c r="A255" i="20"/>
  <c r="A256" i="20"/>
  <c r="A257" i="20"/>
  <c r="A258" i="20"/>
  <c r="O258" i="20"/>
  <c r="U258" i="20" s="1"/>
  <c r="Q258" i="20"/>
  <c r="W258" i="20" s="1"/>
  <c r="E259" i="20"/>
  <c r="X259" i="20"/>
  <c r="A260" i="20"/>
  <c r="O260" i="20"/>
  <c r="Q260" i="20"/>
  <c r="X279" i="20"/>
  <c r="X278" i="20"/>
  <c r="X277" i="20"/>
  <c r="X276" i="20"/>
  <c r="X275" i="20"/>
  <c r="X274" i="20"/>
  <c r="X273" i="20"/>
  <c r="X272" i="20"/>
  <c r="X271" i="20"/>
  <c r="X270" i="20"/>
  <c r="X269" i="20"/>
  <c r="X268" i="20"/>
  <c r="X267" i="20"/>
  <c r="X266" i="20"/>
  <c r="X265" i="20"/>
  <c r="X264" i="20"/>
  <c r="X263" i="20"/>
  <c r="X262" i="20"/>
  <c r="X261" i="20"/>
  <c r="X260" i="20"/>
  <c r="A261" i="20"/>
  <c r="O261" i="20"/>
  <c r="Q261" i="20"/>
  <c r="A262" i="20"/>
  <c r="O262" i="20"/>
  <c r="Q262" i="20"/>
  <c r="A263" i="20"/>
  <c r="O263" i="20"/>
  <c r="Q263" i="20"/>
  <c r="A264" i="20"/>
  <c r="O264" i="20"/>
  <c r="Q264" i="20"/>
  <c r="A265" i="20"/>
  <c r="O265" i="20"/>
  <c r="Q265" i="20"/>
  <c r="A266" i="20"/>
  <c r="O266" i="20"/>
  <c r="Q266" i="20"/>
  <c r="A267" i="20"/>
  <c r="O267" i="20"/>
  <c r="Q267" i="20"/>
  <c r="A268" i="20"/>
  <c r="O268" i="20"/>
  <c r="Q268" i="20"/>
  <c r="A269" i="20"/>
  <c r="O269" i="20"/>
  <c r="Q269" i="20"/>
  <c r="A270" i="20"/>
  <c r="O270" i="20"/>
  <c r="Q270" i="20"/>
  <c r="A271" i="20"/>
  <c r="O271" i="20"/>
  <c r="Q271" i="20"/>
  <c r="A272" i="20"/>
  <c r="O272" i="20"/>
  <c r="Q272" i="20"/>
  <c r="A273" i="20"/>
  <c r="O273" i="20"/>
  <c r="Q273" i="20"/>
  <c r="A274" i="20"/>
  <c r="O274" i="20"/>
  <c r="Q274" i="20"/>
  <c r="A275" i="20"/>
  <c r="O275" i="20"/>
  <c r="Q275" i="20"/>
  <c r="A276" i="20"/>
  <c r="A277" i="20"/>
  <c r="A278" i="20"/>
  <c r="A279" i="20"/>
  <c r="O279" i="20"/>
  <c r="U279" i="20" s="1"/>
  <c r="Q279" i="20"/>
  <c r="W279" i="20" s="1"/>
  <c r="E280" i="20"/>
  <c r="X280" i="20"/>
  <c r="A281" i="20"/>
  <c r="O281" i="20"/>
  <c r="Q281" i="20"/>
  <c r="X300" i="20"/>
  <c r="X299" i="20"/>
  <c r="X298" i="20"/>
  <c r="X297" i="20"/>
  <c r="X296" i="20"/>
  <c r="X295" i="20"/>
  <c r="X294" i="20"/>
  <c r="X293" i="20"/>
  <c r="X292" i="20"/>
  <c r="X291" i="20"/>
  <c r="X290" i="20"/>
  <c r="X289" i="20"/>
  <c r="X288" i="20"/>
  <c r="X287" i="20"/>
  <c r="X286" i="20"/>
  <c r="X285" i="20"/>
  <c r="X284" i="20"/>
  <c r="X283" i="20"/>
  <c r="X282" i="20"/>
  <c r="X281" i="20"/>
  <c r="A282" i="20"/>
  <c r="O282" i="20"/>
  <c r="Q282" i="20"/>
  <c r="A283" i="20"/>
  <c r="O283" i="20"/>
  <c r="Q283" i="20"/>
  <c r="A284" i="20"/>
  <c r="O284" i="20"/>
  <c r="Q284" i="20"/>
  <c r="A285" i="20"/>
  <c r="O285" i="20"/>
  <c r="Q285" i="20"/>
  <c r="A286" i="20"/>
  <c r="O286" i="20"/>
  <c r="Q286" i="20"/>
  <c r="A287" i="20"/>
  <c r="O287" i="20"/>
  <c r="Q287" i="20"/>
  <c r="A288" i="20"/>
  <c r="O288" i="20"/>
  <c r="Q288" i="20"/>
  <c r="A289" i="20"/>
  <c r="O289" i="20"/>
  <c r="Q289" i="20"/>
  <c r="A290" i="20"/>
  <c r="O290" i="20"/>
  <c r="Q290" i="20"/>
  <c r="A291" i="20"/>
  <c r="O291" i="20"/>
  <c r="Q291" i="20"/>
  <c r="A292" i="20"/>
  <c r="O292" i="20"/>
  <c r="Q292" i="20"/>
  <c r="A293" i="20"/>
  <c r="O293" i="20"/>
  <c r="Q293" i="20"/>
  <c r="A294" i="20"/>
  <c r="O294" i="20"/>
  <c r="Q294" i="20"/>
  <c r="A295" i="20"/>
  <c r="O295" i="20"/>
  <c r="Q295" i="20"/>
  <c r="A296" i="20"/>
  <c r="O296" i="20"/>
  <c r="Q296" i="20"/>
  <c r="A297" i="20"/>
  <c r="A298" i="20"/>
  <c r="A299" i="20"/>
  <c r="A300" i="20"/>
  <c r="O300" i="20"/>
  <c r="U300" i="20" s="1"/>
  <c r="Q300" i="20"/>
  <c r="W300" i="20" s="1"/>
  <c r="E301" i="20"/>
  <c r="X301" i="20"/>
  <c r="A302" i="20"/>
  <c r="O302" i="20"/>
  <c r="Q302" i="20"/>
  <c r="X321" i="20"/>
  <c r="X320" i="20"/>
  <c r="X319" i="20"/>
  <c r="X318" i="20"/>
  <c r="X317" i="20"/>
  <c r="X316" i="20"/>
  <c r="X315" i="20"/>
  <c r="X314" i="20"/>
  <c r="X313" i="20"/>
  <c r="X312" i="20"/>
  <c r="X311" i="20"/>
  <c r="X310" i="20"/>
  <c r="X309" i="20"/>
  <c r="X308" i="20"/>
  <c r="X307" i="20"/>
  <c r="X306" i="20"/>
  <c r="X305" i="20"/>
  <c r="X304" i="20"/>
  <c r="X303" i="20"/>
  <c r="X302" i="20"/>
  <c r="A303" i="20"/>
  <c r="O303" i="20"/>
  <c r="Q303" i="20"/>
  <c r="A304" i="20"/>
  <c r="O304" i="20"/>
  <c r="Q304" i="20"/>
  <c r="A305" i="20"/>
  <c r="O305" i="20"/>
  <c r="Q305" i="20"/>
  <c r="A306" i="20"/>
  <c r="O306" i="20"/>
  <c r="Q306" i="20"/>
  <c r="A307" i="20"/>
  <c r="O307" i="20"/>
  <c r="Q307" i="20"/>
  <c r="A308" i="20"/>
  <c r="O308" i="20"/>
  <c r="Q308" i="20"/>
  <c r="A309" i="20"/>
  <c r="O309" i="20"/>
  <c r="Q309" i="20"/>
  <c r="A310" i="20"/>
  <c r="O310" i="20"/>
  <c r="Q310" i="20"/>
  <c r="A311" i="20"/>
  <c r="O311" i="20"/>
  <c r="Q311" i="20"/>
  <c r="A312" i="20"/>
  <c r="O312" i="20"/>
  <c r="Q312" i="20"/>
  <c r="A313" i="20"/>
  <c r="O313" i="20"/>
  <c r="Q313" i="20"/>
  <c r="A314" i="20"/>
  <c r="O314" i="20"/>
  <c r="Q314" i="20"/>
  <c r="A315" i="20"/>
  <c r="O315" i="20"/>
  <c r="Q315" i="20"/>
  <c r="A316" i="20"/>
  <c r="O316" i="20"/>
  <c r="Q316" i="20"/>
  <c r="A317" i="20"/>
  <c r="O317" i="20"/>
  <c r="Q317" i="20"/>
  <c r="A318" i="20"/>
  <c r="A319" i="20"/>
  <c r="A320" i="20"/>
  <c r="A321" i="20"/>
  <c r="O321" i="20"/>
  <c r="U321" i="20" s="1"/>
  <c r="Q321" i="20"/>
  <c r="W321" i="20" s="1"/>
  <c r="E322" i="20"/>
  <c r="X322" i="20"/>
  <c r="A323" i="20"/>
  <c r="O323" i="20"/>
  <c r="Q323" i="20"/>
  <c r="X342" i="20"/>
  <c r="X341" i="20"/>
  <c r="X340" i="20"/>
  <c r="X339" i="20"/>
  <c r="X338" i="20"/>
  <c r="X337" i="20"/>
  <c r="X336" i="20"/>
  <c r="X335" i="20"/>
  <c r="X334" i="20"/>
  <c r="X333" i="20"/>
  <c r="X332" i="20"/>
  <c r="X331" i="20"/>
  <c r="X330" i="20"/>
  <c r="X329" i="20"/>
  <c r="X328" i="20"/>
  <c r="X327" i="20"/>
  <c r="X326" i="20"/>
  <c r="X325" i="20"/>
  <c r="X324" i="20"/>
  <c r="X323" i="20"/>
  <c r="A324" i="20"/>
  <c r="O324" i="20"/>
  <c r="Q324" i="20"/>
  <c r="A325" i="20"/>
  <c r="O325" i="20"/>
  <c r="Q325" i="20"/>
  <c r="A326" i="20"/>
  <c r="O326" i="20"/>
  <c r="Q326" i="20"/>
  <c r="A327" i="20"/>
  <c r="O327" i="20"/>
  <c r="Q327" i="20"/>
  <c r="A328" i="20"/>
  <c r="O328" i="20"/>
  <c r="Q328" i="20"/>
  <c r="A329" i="20"/>
  <c r="O329" i="20"/>
  <c r="Q329" i="20"/>
  <c r="A330" i="20"/>
  <c r="O330" i="20"/>
  <c r="Q330" i="20"/>
  <c r="A331" i="20"/>
  <c r="O331" i="20"/>
  <c r="Q331" i="20"/>
  <c r="A332" i="20"/>
  <c r="O332" i="20"/>
  <c r="Q332" i="20"/>
  <c r="A333" i="20"/>
  <c r="O333" i="20"/>
  <c r="Q333" i="20"/>
  <c r="A334" i="20"/>
  <c r="O334" i="20"/>
  <c r="Q334" i="20"/>
  <c r="A335" i="20"/>
  <c r="O335" i="20"/>
  <c r="Q335" i="20"/>
  <c r="A336" i="20"/>
  <c r="O336" i="20"/>
  <c r="Q336" i="20"/>
  <c r="A337" i="20"/>
  <c r="O337" i="20"/>
  <c r="Q337" i="20"/>
  <c r="A338" i="20"/>
  <c r="O338" i="20"/>
  <c r="Q338" i="20"/>
  <c r="A339" i="20"/>
  <c r="A340" i="20"/>
  <c r="A341" i="20"/>
  <c r="A342" i="20"/>
  <c r="O342" i="20"/>
  <c r="U342" i="20" s="1"/>
  <c r="Q342" i="20"/>
  <c r="W342" i="20" s="1"/>
  <c r="E343" i="20"/>
  <c r="X343" i="20"/>
  <c r="A344" i="20"/>
  <c r="O344" i="20"/>
  <c r="Q344" i="20"/>
  <c r="X363" i="20"/>
  <c r="X362" i="20"/>
  <c r="X361" i="20"/>
  <c r="X360" i="20"/>
  <c r="X359" i="20"/>
  <c r="X358" i="20"/>
  <c r="X357" i="20"/>
  <c r="X356" i="20"/>
  <c r="X355" i="20"/>
  <c r="X354" i="20"/>
  <c r="X353" i="20"/>
  <c r="X352" i="20"/>
  <c r="X351" i="20"/>
  <c r="X350" i="20"/>
  <c r="X349" i="20"/>
  <c r="X348" i="20"/>
  <c r="X347" i="20"/>
  <c r="X346" i="20"/>
  <c r="X345" i="20"/>
  <c r="X344" i="20"/>
  <c r="A345" i="20"/>
  <c r="O345" i="20"/>
  <c r="Q345" i="20"/>
  <c r="A346" i="20"/>
  <c r="O346" i="20"/>
  <c r="Q346" i="20"/>
  <c r="A347" i="20"/>
  <c r="O347" i="20"/>
  <c r="Q347" i="20"/>
  <c r="A348" i="20"/>
  <c r="O348" i="20"/>
  <c r="Q348" i="20"/>
  <c r="A349" i="20"/>
  <c r="O349" i="20"/>
  <c r="Q349" i="20"/>
  <c r="A350" i="20"/>
  <c r="O350" i="20"/>
  <c r="Q350" i="20"/>
  <c r="A351" i="20"/>
  <c r="O351" i="20"/>
  <c r="Q351" i="20"/>
  <c r="A352" i="20"/>
  <c r="O352" i="20"/>
  <c r="Q352" i="20"/>
  <c r="A353" i="20"/>
  <c r="O353" i="20"/>
  <c r="Q353" i="20"/>
  <c r="A354" i="20"/>
  <c r="O354" i="20"/>
  <c r="Q354" i="20"/>
  <c r="A355" i="20"/>
  <c r="O355" i="20"/>
  <c r="Q355" i="20"/>
  <c r="A356" i="20"/>
  <c r="O356" i="20"/>
  <c r="Q356" i="20"/>
  <c r="A357" i="20"/>
  <c r="O357" i="20"/>
  <c r="Q357" i="20"/>
  <c r="A358" i="20"/>
  <c r="O358" i="20"/>
  <c r="Q358" i="20"/>
  <c r="A359" i="20"/>
  <c r="O359" i="20"/>
  <c r="Q359" i="20"/>
  <c r="A360" i="20"/>
  <c r="A361" i="20"/>
  <c r="A362" i="20"/>
  <c r="A363" i="20"/>
  <c r="O363" i="20"/>
  <c r="U363" i="20" s="1"/>
  <c r="Q363" i="20"/>
  <c r="W363" i="20" s="1"/>
  <c r="E364" i="20"/>
  <c r="X364" i="20"/>
  <c r="A365" i="20"/>
  <c r="O365" i="20"/>
  <c r="Q365" i="20"/>
  <c r="X384" i="20"/>
  <c r="X383" i="20"/>
  <c r="X382" i="20"/>
  <c r="X381" i="20"/>
  <c r="X380" i="20"/>
  <c r="X379" i="20"/>
  <c r="X378" i="20"/>
  <c r="X377" i="20"/>
  <c r="X376" i="20"/>
  <c r="X375" i="20"/>
  <c r="X374" i="20"/>
  <c r="X373" i="20"/>
  <c r="X372" i="20"/>
  <c r="X371" i="20"/>
  <c r="X370" i="20"/>
  <c r="X369" i="20"/>
  <c r="X368" i="20"/>
  <c r="X367" i="20"/>
  <c r="X366" i="20"/>
  <c r="X365" i="20"/>
  <c r="A366" i="20"/>
  <c r="O366" i="20"/>
  <c r="Q366" i="20"/>
  <c r="A367" i="20"/>
  <c r="O367" i="20"/>
  <c r="Q367" i="20"/>
  <c r="A368" i="20"/>
  <c r="O368" i="20"/>
  <c r="Q368" i="20"/>
  <c r="A369" i="20"/>
  <c r="O369" i="20"/>
  <c r="Q369" i="20"/>
  <c r="A370" i="20"/>
  <c r="O370" i="20"/>
  <c r="Q370" i="20"/>
  <c r="A371" i="20"/>
  <c r="O371" i="20"/>
  <c r="Q371" i="20"/>
  <c r="A372" i="20"/>
  <c r="O372" i="20"/>
  <c r="Q372" i="20"/>
  <c r="A373" i="20"/>
  <c r="O373" i="20"/>
  <c r="Q373" i="20"/>
  <c r="A374" i="20"/>
  <c r="O374" i="20"/>
  <c r="Q374" i="20"/>
  <c r="A375" i="20"/>
  <c r="O375" i="20"/>
  <c r="Q375" i="20"/>
  <c r="A376" i="20"/>
  <c r="O376" i="20"/>
  <c r="Q376" i="20"/>
  <c r="A377" i="20"/>
  <c r="O377" i="20"/>
  <c r="Q377" i="20"/>
  <c r="A378" i="20"/>
  <c r="O378" i="20"/>
  <c r="Q378" i="20"/>
  <c r="A379" i="20"/>
  <c r="O379" i="20"/>
  <c r="Q379" i="20"/>
  <c r="A380" i="20"/>
  <c r="O380" i="20"/>
  <c r="Q380" i="20"/>
  <c r="A381" i="20"/>
  <c r="A382" i="20"/>
  <c r="A383" i="20"/>
  <c r="A384" i="20"/>
  <c r="O384" i="20"/>
  <c r="U384" i="20" s="1"/>
  <c r="Q384" i="20"/>
  <c r="W384" i="20" s="1"/>
  <c r="E385" i="20"/>
  <c r="X385" i="20"/>
  <c r="A386" i="20"/>
  <c r="O386" i="20"/>
  <c r="Q386" i="20"/>
  <c r="X405" i="20"/>
  <c r="X404" i="20"/>
  <c r="X403" i="20"/>
  <c r="X402" i="20"/>
  <c r="X401" i="20"/>
  <c r="X400" i="20"/>
  <c r="X399" i="20"/>
  <c r="X398" i="20"/>
  <c r="X397" i="20"/>
  <c r="X396" i="20"/>
  <c r="X395" i="20"/>
  <c r="X394" i="20"/>
  <c r="X393" i="20"/>
  <c r="X392" i="20"/>
  <c r="X391" i="20"/>
  <c r="X390" i="20"/>
  <c r="X389" i="20"/>
  <c r="X388" i="20"/>
  <c r="X387" i="20"/>
  <c r="X386" i="20"/>
  <c r="A387" i="20"/>
  <c r="O387" i="20"/>
  <c r="Q387" i="20"/>
  <c r="A388" i="20"/>
  <c r="O388" i="20"/>
  <c r="Q388" i="20"/>
  <c r="A389" i="20"/>
  <c r="O389" i="20"/>
  <c r="Q389" i="20"/>
  <c r="A390" i="20"/>
  <c r="O390" i="20"/>
  <c r="Q390" i="20"/>
  <c r="A391" i="20"/>
  <c r="O391" i="20"/>
  <c r="Q391" i="20"/>
  <c r="A392" i="20"/>
  <c r="O392" i="20"/>
  <c r="Q392" i="20"/>
  <c r="A393" i="20"/>
  <c r="O393" i="20"/>
  <c r="Q393" i="20"/>
  <c r="A394" i="20"/>
  <c r="O394" i="20"/>
  <c r="Q394" i="20"/>
  <c r="A395" i="20"/>
  <c r="O395" i="20"/>
  <c r="Q395" i="20"/>
  <c r="A396" i="20"/>
  <c r="O396" i="20"/>
  <c r="Q396" i="20"/>
  <c r="A397" i="20"/>
  <c r="O397" i="20"/>
  <c r="Q397" i="20"/>
  <c r="A398" i="20"/>
  <c r="O398" i="20"/>
  <c r="Q398" i="20"/>
  <c r="A399" i="20"/>
  <c r="O399" i="20"/>
  <c r="Q399" i="20"/>
  <c r="A400" i="20"/>
  <c r="O400" i="20"/>
  <c r="Q400" i="20"/>
  <c r="A401" i="20"/>
  <c r="O401" i="20"/>
  <c r="Q401" i="20"/>
  <c r="A402" i="20"/>
  <c r="A403" i="20"/>
  <c r="A404" i="20"/>
  <c r="A405" i="20"/>
  <c r="O405" i="20"/>
  <c r="U405" i="20" s="1"/>
  <c r="Q405" i="20"/>
  <c r="W405" i="20" s="1"/>
  <c r="E406" i="20"/>
  <c r="X406" i="20"/>
  <c r="A407" i="20"/>
  <c r="O407" i="20"/>
  <c r="Q407" i="20"/>
  <c r="X426" i="20"/>
  <c r="X425" i="20"/>
  <c r="X424" i="20"/>
  <c r="X423" i="20"/>
  <c r="X422" i="20"/>
  <c r="X421" i="20"/>
  <c r="X420" i="20"/>
  <c r="X419" i="20"/>
  <c r="X418" i="20"/>
  <c r="X417" i="20"/>
  <c r="X416" i="20"/>
  <c r="X415" i="20"/>
  <c r="X414" i="20"/>
  <c r="X413" i="20"/>
  <c r="X412" i="20"/>
  <c r="X411" i="20"/>
  <c r="X410" i="20"/>
  <c r="X409" i="20"/>
  <c r="X408" i="20"/>
  <c r="X407" i="20"/>
  <c r="A408" i="20"/>
  <c r="O408" i="20"/>
  <c r="Q408" i="20"/>
  <c r="A409" i="20"/>
  <c r="O409" i="20"/>
  <c r="Q409" i="20"/>
  <c r="A410" i="20"/>
  <c r="O410" i="20"/>
  <c r="Q410" i="20"/>
  <c r="A411" i="20"/>
  <c r="O411" i="20"/>
  <c r="Q411" i="20"/>
  <c r="A412" i="20"/>
  <c r="O412" i="20"/>
  <c r="Q412" i="20"/>
  <c r="A413" i="20"/>
  <c r="O413" i="20"/>
  <c r="Q413" i="20"/>
  <c r="A414" i="20"/>
  <c r="O414" i="20"/>
  <c r="Q414" i="20"/>
  <c r="A415" i="20"/>
  <c r="O415" i="20"/>
  <c r="Q415" i="20"/>
  <c r="A416" i="20"/>
  <c r="O416" i="20"/>
  <c r="Q416" i="20"/>
  <c r="A417" i="20"/>
  <c r="O417" i="20"/>
  <c r="Q417" i="20"/>
  <c r="A418" i="20"/>
  <c r="O418" i="20"/>
  <c r="Q418" i="20"/>
  <c r="A419" i="20"/>
  <c r="O419" i="20"/>
  <c r="Q419" i="20"/>
  <c r="A420" i="20"/>
  <c r="O420" i="20"/>
  <c r="Q420" i="20"/>
  <c r="A421" i="20"/>
  <c r="O421" i="20"/>
  <c r="Q421" i="20"/>
  <c r="A422" i="20"/>
  <c r="O422" i="20"/>
  <c r="Q422" i="20"/>
  <c r="A423" i="20"/>
  <c r="A424" i="20"/>
  <c r="A425" i="20"/>
  <c r="A426" i="20"/>
  <c r="O426" i="20"/>
  <c r="U426" i="20" s="1"/>
  <c r="Q426" i="20"/>
  <c r="W426" i="20" s="1"/>
  <c r="E427" i="20"/>
  <c r="X427" i="20"/>
  <c r="A8" i="19"/>
  <c r="O8" i="19"/>
  <c r="Q8" i="19"/>
  <c r="X27" i="19"/>
  <c r="X26" i="19"/>
  <c r="X25" i="19"/>
  <c r="X24" i="19"/>
  <c r="X23" i="19"/>
  <c r="X22" i="19"/>
  <c r="X21" i="19"/>
  <c r="X20" i="19"/>
  <c r="X19" i="19"/>
  <c r="X18" i="19"/>
  <c r="X17" i="19"/>
  <c r="X16" i="19"/>
  <c r="X15" i="19"/>
  <c r="X14" i="19"/>
  <c r="X13" i="19"/>
  <c r="X12" i="19"/>
  <c r="X11" i="19"/>
  <c r="X10" i="19"/>
  <c r="X9" i="19"/>
  <c r="X8" i="19"/>
  <c r="A9" i="19"/>
  <c r="O9" i="19"/>
  <c r="Q9" i="19"/>
  <c r="A10" i="19"/>
  <c r="O10" i="19"/>
  <c r="Q10" i="19"/>
  <c r="A11" i="19"/>
  <c r="O11" i="19"/>
  <c r="Q11" i="19"/>
  <c r="A12" i="19"/>
  <c r="O12" i="19"/>
  <c r="Q12" i="19"/>
  <c r="A13" i="19"/>
  <c r="O13" i="19"/>
  <c r="Q13" i="19"/>
  <c r="A14" i="19"/>
  <c r="O14" i="19"/>
  <c r="Q14" i="19"/>
  <c r="A15" i="19"/>
  <c r="O15" i="19"/>
  <c r="Q15" i="19"/>
  <c r="A16" i="19"/>
  <c r="O16" i="19"/>
  <c r="Q16" i="19"/>
  <c r="A17" i="19"/>
  <c r="O17" i="19"/>
  <c r="Q17" i="19"/>
  <c r="A18" i="19"/>
  <c r="O18" i="19"/>
  <c r="Q18" i="19"/>
  <c r="A19" i="19"/>
  <c r="O19" i="19"/>
  <c r="Q19" i="19"/>
  <c r="A20" i="19"/>
  <c r="O20" i="19"/>
  <c r="Q20" i="19"/>
  <c r="A21" i="19"/>
  <c r="O21" i="19"/>
  <c r="Q21" i="19"/>
  <c r="A22" i="19"/>
  <c r="O22" i="19"/>
  <c r="Q22" i="19"/>
  <c r="A23" i="19"/>
  <c r="O23" i="19"/>
  <c r="Q23" i="19"/>
  <c r="A24" i="19"/>
  <c r="A25" i="19"/>
  <c r="A26" i="19"/>
  <c r="A27" i="19"/>
  <c r="O27" i="19"/>
  <c r="U27" i="19" s="1"/>
  <c r="Q27" i="19"/>
  <c r="W27" i="19" s="1"/>
  <c r="E28" i="19"/>
  <c r="X28" i="19"/>
  <c r="A29" i="19"/>
  <c r="O29" i="19"/>
  <c r="Q29" i="19"/>
  <c r="X48" i="19"/>
  <c r="X47" i="19"/>
  <c r="X46" i="19"/>
  <c r="X45" i="19"/>
  <c r="X44" i="19"/>
  <c r="X43" i="19"/>
  <c r="X42" i="19"/>
  <c r="X41" i="19"/>
  <c r="X40" i="19"/>
  <c r="X39" i="19"/>
  <c r="X38" i="19"/>
  <c r="X37" i="19"/>
  <c r="X36" i="19"/>
  <c r="X35" i="19"/>
  <c r="X34" i="19"/>
  <c r="X33" i="19"/>
  <c r="X32" i="19"/>
  <c r="X31" i="19"/>
  <c r="X30" i="19"/>
  <c r="X29" i="19"/>
  <c r="A30" i="19"/>
  <c r="O30" i="19"/>
  <c r="Q30" i="19"/>
  <c r="A31" i="19"/>
  <c r="O31" i="19"/>
  <c r="Q31" i="19"/>
  <c r="A32" i="19"/>
  <c r="O32" i="19"/>
  <c r="Q32" i="19"/>
  <c r="A33" i="19"/>
  <c r="O33" i="19"/>
  <c r="Q33" i="19"/>
  <c r="A34" i="19"/>
  <c r="O34" i="19"/>
  <c r="Q34" i="19"/>
  <c r="A35" i="19"/>
  <c r="O35" i="19"/>
  <c r="Q35" i="19"/>
  <c r="A36" i="19"/>
  <c r="O36" i="19"/>
  <c r="Q36" i="19"/>
  <c r="A37" i="19"/>
  <c r="O37" i="19"/>
  <c r="Q37" i="19"/>
  <c r="A38" i="19"/>
  <c r="O38" i="19"/>
  <c r="Q38" i="19"/>
  <c r="A39" i="19"/>
  <c r="O39" i="19"/>
  <c r="Q39" i="19"/>
  <c r="A40" i="19"/>
  <c r="O40" i="19"/>
  <c r="Q40" i="19"/>
  <c r="A41" i="19"/>
  <c r="O41" i="19"/>
  <c r="Q41" i="19"/>
  <c r="A42" i="19"/>
  <c r="O42" i="19"/>
  <c r="Q42" i="19"/>
  <c r="A43" i="19"/>
  <c r="O43" i="19"/>
  <c r="Q43" i="19"/>
  <c r="A44" i="19"/>
  <c r="O44" i="19"/>
  <c r="Q44" i="19"/>
  <c r="A45" i="19"/>
  <c r="A46" i="19"/>
  <c r="A47" i="19"/>
  <c r="A48" i="19"/>
  <c r="O48" i="19"/>
  <c r="U48" i="19" s="1"/>
  <c r="Q48" i="19"/>
  <c r="W48" i="19" s="1"/>
  <c r="E49" i="19"/>
  <c r="X49" i="19"/>
  <c r="A50" i="19"/>
  <c r="O50" i="19"/>
  <c r="Q50" i="19"/>
  <c r="X69" i="19"/>
  <c r="X68" i="19"/>
  <c r="X67" i="19"/>
  <c r="X66" i="19"/>
  <c r="X65" i="19"/>
  <c r="X64" i="19"/>
  <c r="X63" i="19"/>
  <c r="X62" i="19"/>
  <c r="X61" i="19"/>
  <c r="X60" i="19"/>
  <c r="X59" i="19"/>
  <c r="X58" i="19"/>
  <c r="X57" i="19"/>
  <c r="X56" i="19"/>
  <c r="X55" i="19"/>
  <c r="X54" i="19"/>
  <c r="X53" i="19"/>
  <c r="X52" i="19"/>
  <c r="X51" i="19"/>
  <c r="X50" i="19"/>
  <c r="A51" i="19"/>
  <c r="O51" i="19"/>
  <c r="Q51" i="19"/>
  <c r="A52" i="19"/>
  <c r="O52" i="19"/>
  <c r="Q52" i="19"/>
  <c r="A53" i="19"/>
  <c r="O53" i="19"/>
  <c r="Q53" i="19"/>
  <c r="A54" i="19"/>
  <c r="O54" i="19"/>
  <c r="Q54" i="19"/>
  <c r="A55" i="19"/>
  <c r="O55" i="19"/>
  <c r="Q55" i="19"/>
  <c r="A56" i="19"/>
  <c r="O56" i="19"/>
  <c r="Q56" i="19"/>
  <c r="A57" i="19"/>
  <c r="O57" i="19"/>
  <c r="Q57" i="19"/>
  <c r="A58" i="19"/>
  <c r="O58" i="19"/>
  <c r="Q58" i="19"/>
  <c r="A59" i="19"/>
  <c r="O59" i="19"/>
  <c r="Q59" i="19"/>
  <c r="A60" i="19"/>
  <c r="O60" i="19"/>
  <c r="Q60" i="19"/>
  <c r="A61" i="19"/>
  <c r="O61" i="19"/>
  <c r="Q61" i="19"/>
  <c r="A62" i="19"/>
  <c r="O62" i="19"/>
  <c r="Q62" i="19"/>
  <c r="A63" i="19"/>
  <c r="O63" i="19"/>
  <c r="Q63" i="19"/>
  <c r="A64" i="19"/>
  <c r="O64" i="19"/>
  <c r="Q64" i="19"/>
  <c r="A65" i="19"/>
  <c r="O65" i="19"/>
  <c r="Q65" i="19"/>
  <c r="A66" i="19"/>
  <c r="A67" i="19"/>
  <c r="A68" i="19"/>
  <c r="A69" i="19"/>
  <c r="O69" i="19"/>
  <c r="U69" i="19" s="1"/>
  <c r="Q69" i="19"/>
  <c r="W69" i="19" s="1"/>
  <c r="E70" i="19"/>
  <c r="X70" i="19"/>
  <c r="A71" i="19"/>
  <c r="O71" i="19"/>
  <c r="Q71" i="19"/>
  <c r="X90" i="19"/>
  <c r="X89" i="19"/>
  <c r="X88" i="19"/>
  <c r="X87" i="19"/>
  <c r="X86" i="19"/>
  <c r="X85" i="19"/>
  <c r="X84" i="19"/>
  <c r="X83" i="19"/>
  <c r="X82" i="19"/>
  <c r="X81" i="19"/>
  <c r="X80" i="19"/>
  <c r="X79" i="19"/>
  <c r="X78" i="19"/>
  <c r="X77" i="19"/>
  <c r="X76" i="19"/>
  <c r="X75" i="19"/>
  <c r="X74" i="19"/>
  <c r="X73" i="19"/>
  <c r="X72" i="19"/>
  <c r="X71" i="19"/>
  <c r="A72" i="19"/>
  <c r="O72" i="19"/>
  <c r="Q72" i="19"/>
  <c r="A73" i="19"/>
  <c r="O73" i="19"/>
  <c r="Q73" i="19"/>
  <c r="A74" i="19"/>
  <c r="O74" i="19"/>
  <c r="Q74" i="19"/>
  <c r="A75" i="19"/>
  <c r="O75" i="19"/>
  <c r="Q75" i="19"/>
  <c r="A76" i="19"/>
  <c r="O76" i="19"/>
  <c r="Q76" i="19"/>
  <c r="A77" i="19"/>
  <c r="O77" i="19"/>
  <c r="Q77" i="19"/>
  <c r="A78" i="19"/>
  <c r="O78" i="19"/>
  <c r="Q78" i="19"/>
  <c r="A79" i="19"/>
  <c r="O79" i="19"/>
  <c r="Q79" i="19"/>
  <c r="A80" i="19"/>
  <c r="O80" i="19"/>
  <c r="Q80" i="19"/>
  <c r="A81" i="19"/>
  <c r="O81" i="19"/>
  <c r="Q81" i="19"/>
  <c r="A82" i="19"/>
  <c r="O82" i="19"/>
  <c r="Q82" i="19"/>
  <c r="A83" i="19"/>
  <c r="O83" i="19"/>
  <c r="Q83" i="19"/>
  <c r="A84" i="19"/>
  <c r="O84" i="19"/>
  <c r="Q84" i="19"/>
  <c r="A85" i="19"/>
  <c r="O85" i="19"/>
  <c r="Q85" i="19"/>
  <c r="A86" i="19"/>
  <c r="O86" i="19"/>
  <c r="Q86" i="19"/>
  <c r="A87" i="19"/>
  <c r="A88" i="19"/>
  <c r="A89" i="19"/>
  <c r="A90" i="19"/>
  <c r="O90" i="19"/>
  <c r="U90" i="19" s="1"/>
  <c r="Q90" i="19"/>
  <c r="W90" i="19" s="1"/>
  <c r="E91" i="19"/>
  <c r="X91" i="19"/>
  <c r="A92" i="19"/>
  <c r="O92" i="19"/>
  <c r="Q92" i="19"/>
  <c r="X111" i="19"/>
  <c r="X110" i="19"/>
  <c r="X109" i="19"/>
  <c r="X108" i="19"/>
  <c r="X107" i="19"/>
  <c r="X106" i="19"/>
  <c r="X105" i="19"/>
  <c r="X104" i="19"/>
  <c r="X103" i="19"/>
  <c r="X102" i="19"/>
  <c r="X101" i="19"/>
  <c r="X100" i="19"/>
  <c r="X99" i="19"/>
  <c r="X98" i="19"/>
  <c r="X97" i="19"/>
  <c r="X96" i="19"/>
  <c r="X95" i="19"/>
  <c r="X94" i="19"/>
  <c r="X93" i="19"/>
  <c r="X92" i="19"/>
  <c r="A93" i="19"/>
  <c r="O93" i="19"/>
  <c r="Q93" i="19"/>
  <c r="A94" i="19"/>
  <c r="O94" i="19"/>
  <c r="Q94" i="19"/>
  <c r="A95" i="19"/>
  <c r="O95" i="19"/>
  <c r="Q95" i="19"/>
  <c r="A96" i="19"/>
  <c r="O96" i="19"/>
  <c r="Q96" i="19"/>
  <c r="A97" i="19"/>
  <c r="O97" i="19"/>
  <c r="Q97" i="19"/>
  <c r="A98" i="19"/>
  <c r="O98" i="19"/>
  <c r="Q98" i="19"/>
  <c r="A99" i="19"/>
  <c r="O99" i="19"/>
  <c r="Q99" i="19"/>
  <c r="A100" i="19"/>
  <c r="O100" i="19"/>
  <c r="Q100" i="19"/>
  <c r="A101" i="19"/>
  <c r="O101" i="19"/>
  <c r="Q101" i="19"/>
  <c r="A102" i="19"/>
  <c r="O102" i="19"/>
  <c r="Q102" i="19"/>
  <c r="A103" i="19"/>
  <c r="O103" i="19"/>
  <c r="Q103" i="19"/>
  <c r="A104" i="19"/>
  <c r="O104" i="19"/>
  <c r="Q104" i="19"/>
  <c r="A105" i="19"/>
  <c r="O105" i="19"/>
  <c r="Q105" i="19"/>
  <c r="A106" i="19"/>
  <c r="O106" i="19"/>
  <c r="Q106" i="19"/>
  <c r="A107" i="19"/>
  <c r="O107" i="19"/>
  <c r="Q107" i="19"/>
  <c r="A108" i="19"/>
  <c r="A109" i="19"/>
  <c r="A110" i="19"/>
  <c r="A111" i="19"/>
  <c r="O111" i="19"/>
  <c r="U111" i="19" s="1"/>
  <c r="Q111" i="19"/>
  <c r="W111" i="19" s="1"/>
  <c r="E112" i="19"/>
  <c r="X112" i="19"/>
  <c r="A113" i="19"/>
  <c r="O113" i="19"/>
  <c r="Q113" i="19"/>
  <c r="X132" i="19"/>
  <c r="X131" i="19"/>
  <c r="X130" i="19"/>
  <c r="X129" i="19"/>
  <c r="X128" i="19"/>
  <c r="X127" i="19"/>
  <c r="X126" i="19"/>
  <c r="X125" i="19"/>
  <c r="X124" i="19"/>
  <c r="X123" i="19"/>
  <c r="X122" i="19"/>
  <c r="X121" i="19"/>
  <c r="X120" i="19"/>
  <c r="X119" i="19"/>
  <c r="X118" i="19"/>
  <c r="X117" i="19"/>
  <c r="X116" i="19"/>
  <c r="X115" i="19"/>
  <c r="X114" i="19"/>
  <c r="X113" i="19"/>
  <c r="A114" i="19"/>
  <c r="O114" i="19"/>
  <c r="Q114" i="19"/>
  <c r="A115" i="19"/>
  <c r="O115" i="19"/>
  <c r="Q115" i="19"/>
  <c r="A116" i="19"/>
  <c r="O116" i="19"/>
  <c r="Q116" i="19"/>
  <c r="A117" i="19"/>
  <c r="O117" i="19"/>
  <c r="Q117" i="19"/>
  <c r="A118" i="19"/>
  <c r="O118" i="19"/>
  <c r="Q118" i="19"/>
  <c r="A119" i="19"/>
  <c r="O119" i="19"/>
  <c r="Q119" i="19"/>
  <c r="A120" i="19"/>
  <c r="O120" i="19"/>
  <c r="Q120" i="19"/>
  <c r="A121" i="19"/>
  <c r="O121" i="19"/>
  <c r="Q121" i="19"/>
  <c r="A122" i="19"/>
  <c r="O122" i="19"/>
  <c r="Q122" i="19"/>
  <c r="A123" i="19"/>
  <c r="O123" i="19"/>
  <c r="Q123" i="19"/>
  <c r="A124" i="19"/>
  <c r="O124" i="19"/>
  <c r="Q124" i="19"/>
  <c r="A125" i="19"/>
  <c r="O125" i="19"/>
  <c r="Q125" i="19"/>
  <c r="A126" i="19"/>
  <c r="O126" i="19"/>
  <c r="Q126" i="19"/>
  <c r="A127" i="19"/>
  <c r="O127" i="19"/>
  <c r="Q127" i="19"/>
  <c r="A128" i="19"/>
  <c r="O128" i="19"/>
  <c r="Q128" i="19"/>
  <c r="A129" i="19"/>
  <c r="A130" i="19"/>
  <c r="A131" i="19"/>
  <c r="A132" i="19"/>
  <c r="O132" i="19"/>
  <c r="U132" i="19" s="1"/>
  <c r="Q132" i="19"/>
  <c r="W132" i="19" s="1"/>
  <c r="E133" i="19"/>
  <c r="X133" i="19"/>
  <c r="A134" i="19"/>
  <c r="O134" i="19"/>
  <c r="Q134" i="19"/>
  <c r="X153" i="19"/>
  <c r="X152" i="19"/>
  <c r="X151" i="19"/>
  <c r="X150" i="19"/>
  <c r="X149" i="19"/>
  <c r="X148" i="19"/>
  <c r="X147" i="19"/>
  <c r="X146" i="19"/>
  <c r="X145" i="19"/>
  <c r="X144" i="19"/>
  <c r="X143" i="19"/>
  <c r="X142" i="19"/>
  <c r="X141" i="19"/>
  <c r="X140" i="19"/>
  <c r="X139" i="19"/>
  <c r="X138" i="19"/>
  <c r="X137" i="19"/>
  <c r="X136" i="19"/>
  <c r="X135" i="19"/>
  <c r="X134" i="19"/>
  <c r="A135" i="19"/>
  <c r="O135" i="19"/>
  <c r="Q135" i="19"/>
  <c r="A136" i="19"/>
  <c r="O136" i="19"/>
  <c r="Q136" i="19"/>
  <c r="A137" i="19"/>
  <c r="O137" i="19"/>
  <c r="Q137" i="19"/>
  <c r="A138" i="19"/>
  <c r="O138" i="19"/>
  <c r="Q138" i="19"/>
  <c r="A139" i="19"/>
  <c r="O139" i="19"/>
  <c r="Q139" i="19"/>
  <c r="A140" i="19"/>
  <c r="O140" i="19"/>
  <c r="Q140" i="19"/>
  <c r="A141" i="19"/>
  <c r="O141" i="19"/>
  <c r="Q141" i="19"/>
  <c r="A142" i="19"/>
  <c r="O142" i="19"/>
  <c r="Q142" i="19"/>
  <c r="A143" i="19"/>
  <c r="O143" i="19"/>
  <c r="Q143" i="19"/>
  <c r="A144" i="19"/>
  <c r="O144" i="19"/>
  <c r="Q144" i="19"/>
  <c r="A145" i="19"/>
  <c r="O145" i="19"/>
  <c r="Q145" i="19"/>
  <c r="A146" i="19"/>
  <c r="O146" i="19"/>
  <c r="Q146" i="19"/>
  <c r="A147" i="19"/>
  <c r="O147" i="19"/>
  <c r="Q147" i="19"/>
  <c r="A148" i="19"/>
  <c r="O148" i="19"/>
  <c r="Q148" i="19"/>
  <c r="A149" i="19"/>
  <c r="O149" i="19"/>
  <c r="Q149" i="19"/>
  <c r="A150" i="19"/>
  <c r="A151" i="19"/>
  <c r="A152" i="19"/>
  <c r="A153" i="19"/>
  <c r="O153" i="19"/>
  <c r="U153" i="19" s="1"/>
  <c r="Q153" i="19"/>
  <c r="W153" i="19" s="1"/>
  <c r="E154" i="19"/>
  <c r="X154" i="19"/>
  <c r="A155" i="19"/>
  <c r="O155" i="19"/>
  <c r="Q155" i="19"/>
  <c r="X174" i="19"/>
  <c r="X173" i="19"/>
  <c r="X172" i="19"/>
  <c r="X171" i="19"/>
  <c r="X170" i="19"/>
  <c r="X169" i="19"/>
  <c r="X168" i="19"/>
  <c r="X167" i="19"/>
  <c r="X166" i="19"/>
  <c r="X165" i="19"/>
  <c r="X164" i="19"/>
  <c r="X163" i="19"/>
  <c r="X162" i="19"/>
  <c r="X161" i="19"/>
  <c r="X160" i="19"/>
  <c r="X159" i="19"/>
  <c r="X158" i="19"/>
  <c r="X157" i="19"/>
  <c r="X156" i="19"/>
  <c r="X155" i="19"/>
  <c r="A156" i="19"/>
  <c r="O156" i="19"/>
  <c r="Q156" i="19"/>
  <c r="A157" i="19"/>
  <c r="O157" i="19"/>
  <c r="Q157" i="19"/>
  <c r="A158" i="19"/>
  <c r="O158" i="19"/>
  <c r="Q158" i="19"/>
  <c r="A159" i="19"/>
  <c r="O159" i="19"/>
  <c r="Q159" i="19"/>
  <c r="A160" i="19"/>
  <c r="O160" i="19"/>
  <c r="Q160" i="19"/>
  <c r="A161" i="19"/>
  <c r="O161" i="19"/>
  <c r="Q161" i="19"/>
  <c r="A162" i="19"/>
  <c r="O162" i="19"/>
  <c r="Q162" i="19"/>
  <c r="A163" i="19"/>
  <c r="O163" i="19"/>
  <c r="Q163" i="19"/>
  <c r="A164" i="19"/>
  <c r="O164" i="19"/>
  <c r="Q164" i="19"/>
  <c r="A165" i="19"/>
  <c r="O165" i="19"/>
  <c r="Q165" i="19"/>
  <c r="A166" i="19"/>
  <c r="O166" i="19"/>
  <c r="Q166" i="19"/>
  <c r="A167" i="19"/>
  <c r="O167" i="19"/>
  <c r="Q167" i="19"/>
  <c r="A168" i="19"/>
  <c r="O168" i="19"/>
  <c r="Q168" i="19"/>
  <c r="A169" i="19"/>
  <c r="O169" i="19"/>
  <c r="Q169" i="19"/>
  <c r="A170" i="19"/>
  <c r="O170" i="19"/>
  <c r="Q170" i="19"/>
  <c r="A171" i="19"/>
  <c r="A172" i="19"/>
  <c r="A173" i="19"/>
  <c r="A174" i="19"/>
  <c r="O174" i="19"/>
  <c r="U174" i="19" s="1"/>
  <c r="Q174" i="19"/>
  <c r="W174" i="19" s="1"/>
  <c r="E175" i="19"/>
  <c r="X175" i="19"/>
  <c r="A176" i="19"/>
  <c r="O176" i="19"/>
  <c r="Q176" i="19"/>
  <c r="X195" i="19"/>
  <c r="X194" i="19"/>
  <c r="X193" i="19"/>
  <c r="X192" i="19"/>
  <c r="X191" i="19"/>
  <c r="X190" i="19"/>
  <c r="X189" i="19"/>
  <c r="X188" i="19"/>
  <c r="X187" i="19"/>
  <c r="X186" i="19"/>
  <c r="X185" i="19"/>
  <c r="X184" i="19"/>
  <c r="X183" i="19"/>
  <c r="X182" i="19"/>
  <c r="X181" i="19"/>
  <c r="X180" i="19"/>
  <c r="X179" i="19"/>
  <c r="X178" i="19"/>
  <c r="X177" i="19"/>
  <c r="X176" i="19"/>
  <c r="A177" i="19"/>
  <c r="O177" i="19"/>
  <c r="Q177" i="19"/>
  <c r="A178" i="19"/>
  <c r="O178" i="19"/>
  <c r="Q178" i="19"/>
  <c r="A179" i="19"/>
  <c r="O179" i="19"/>
  <c r="Q179" i="19"/>
  <c r="A180" i="19"/>
  <c r="O180" i="19"/>
  <c r="Q180" i="19"/>
  <c r="A181" i="19"/>
  <c r="O181" i="19"/>
  <c r="Q181" i="19"/>
  <c r="A182" i="19"/>
  <c r="O182" i="19"/>
  <c r="Q182" i="19"/>
  <c r="A183" i="19"/>
  <c r="O183" i="19"/>
  <c r="Q183" i="19"/>
  <c r="A184" i="19"/>
  <c r="O184" i="19"/>
  <c r="Q184" i="19"/>
  <c r="A185" i="19"/>
  <c r="O185" i="19"/>
  <c r="Q185" i="19"/>
  <c r="A186" i="19"/>
  <c r="O186" i="19"/>
  <c r="Q186" i="19"/>
  <c r="A187" i="19"/>
  <c r="O187" i="19"/>
  <c r="Q187" i="19"/>
  <c r="A188" i="19"/>
  <c r="O188" i="19"/>
  <c r="Q188" i="19"/>
  <c r="A189" i="19"/>
  <c r="O189" i="19"/>
  <c r="Q189" i="19"/>
  <c r="A190" i="19"/>
  <c r="O190" i="19"/>
  <c r="Q190" i="19"/>
  <c r="A191" i="19"/>
  <c r="O191" i="19"/>
  <c r="Q191" i="19"/>
  <c r="A192" i="19"/>
  <c r="A193" i="19"/>
  <c r="A194" i="19"/>
  <c r="A195" i="19"/>
  <c r="O195" i="19"/>
  <c r="U195" i="19" s="1"/>
  <c r="Q195" i="19"/>
  <c r="W195" i="19" s="1"/>
  <c r="E196" i="19"/>
  <c r="X196" i="19"/>
  <c r="A197" i="19"/>
  <c r="O197" i="19"/>
  <c r="Q197" i="19"/>
  <c r="X216" i="19"/>
  <c r="X215" i="19"/>
  <c r="X214" i="19"/>
  <c r="X213" i="19"/>
  <c r="X212" i="19"/>
  <c r="X211" i="19"/>
  <c r="X210" i="19"/>
  <c r="X209" i="19"/>
  <c r="X208" i="19"/>
  <c r="X207" i="19"/>
  <c r="X206" i="19"/>
  <c r="X205" i="19"/>
  <c r="X204" i="19"/>
  <c r="X203" i="19"/>
  <c r="X202" i="19"/>
  <c r="X201" i="19"/>
  <c r="X200" i="19"/>
  <c r="X199" i="19"/>
  <c r="X198" i="19"/>
  <c r="X197" i="19"/>
  <c r="A198" i="19"/>
  <c r="O198" i="19"/>
  <c r="Q198" i="19"/>
  <c r="A199" i="19"/>
  <c r="O199" i="19"/>
  <c r="Q199" i="19"/>
  <c r="A200" i="19"/>
  <c r="O200" i="19"/>
  <c r="Q200" i="19"/>
  <c r="A201" i="19"/>
  <c r="O201" i="19"/>
  <c r="Q201" i="19"/>
  <c r="A202" i="19"/>
  <c r="O202" i="19"/>
  <c r="Q202" i="19"/>
  <c r="A203" i="19"/>
  <c r="O203" i="19"/>
  <c r="Q203" i="19"/>
  <c r="A204" i="19"/>
  <c r="O204" i="19"/>
  <c r="Q204" i="19"/>
  <c r="A205" i="19"/>
  <c r="O205" i="19"/>
  <c r="Q205" i="19"/>
  <c r="A206" i="19"/>
  <c r="O206" i="19"/>
  <c r="Q206" i="19"/>
  <c r="A207" i="19"/>
  <c r="O207" i="19"/>
  <c r="Q207" i="19"/>
  <c r="A208" i="19"/>
  <c r="O208" i="19"/>
  <c r="Q208" i="19"/>
  <c r="A209" i="19"/>
  <c r="O209" i="19"/>
  <c r="Q209" i="19"/>
  <c r="A210" i="19"/>
  <c r="O210" i="19"/>
  <c r="Q210" i="19"/>
  <c r="A211" i="19"/>
  <c r="O211" i="19"/>
  <c r="Q211" i="19"/>
  <c r="A212" i="19"/>
  <c r="O212" i="19"/>
  <c r="Q212" i="19"/>
  <c r="A213" i="19"/>
  <c r="A214" i="19"/>
  <c r="A215" i="19"/>
  <c r="A216" i="19"/>
  <c r="O216" i="19"/>
  <c r="U216" i="19" s="1"/>
  <c r="Q216" i="19"/>
  <c r="W216" i="19" s="1"/>
  <c r="E217" i="19"/>
  <c r="X217" i="19"/>
  <c r="A218" i="19"/>
  <c r="O218" i="19"/>
  <c r="Q218" i="19"/>
  <c r="X237" i="19"/>
  <c r="X236" i="19"/>
  <c r="X235" i="19"/>
  <c r="X234" i="19"/>
  <c r="X233" i="19"/>
  <c r="X232" i="19"/>
  <c r="X231" i="19"/>
  <c r="X230" i="19"/>
  <c r="X229" i="19"/>
  <c r="X228" i="19"/>
  <c r="X227" i="19"/>
  <c r="X226" i="19"/>
  <c r="X225" i="19"/>
  <c r="X224" i="19"/>
  <c r="X223" i="19"/>
  <c r="X222" i="19"/>
  <c r="X221" i="19"/>
  <c r="X220" i="19"/>
  <c r="X219" i="19"/>
  <c r="X218" i="19"/>
  <c r="A219" i="19"/>
  <c r="O219" i="19"/>
  <c r="Q219" i="19"/>
  <c r="A220" i="19"/>
  <c r="O220" i="19"/>
  <c r="Q220" i="19"/>
  <c r="A221" i="19"/>
  <c r="O221" i="19"/>
  <c r="Q221" i="19"/>
  <c r="A222" i="19"/>
  <c r="O222" i="19"/>
  <c r="Q222" i="19"/>
  <c r="A223" i="19"/>
  <c r="O223" i="19"/>
  <c r="Q223" i="19"/>
  <c r="A224" i="19"/>
  <c r="O224" i="19"/>
  <c r="Q224" i="19"/>
  <c r="A225" i="19"/>
  <c r="O225" i="19"/>
  <c r="Q225" i="19"/>
  <c r="A226" i="19"/>
  <c r="O226" i="19"/>
  <c r="Q226" i="19"/>
  <c r="A227" i="19"/>
  <c r="O227" i="19"/>
  <c r="Q227" i="19"/>
  <c r="A228" i="19"/>
  <c r="O228" i="19"/>
  <c r="Q228" i="19"/>
  <c r="A229" i="19"/>
  <c r="O229" i="19"/>
  <c r="Q229" i="19"/>
  <c r="A230" i="19"/>
  <c r="O230" i="19"/>
  <c r="Q230" i="19"/>
  <c r="A231" i="19"/>
  <c r="O231" i="19"/>
  <c r="Q231" i="19"/>
  <c r="A232" i="19"/>
  <c r="O232" i="19"/>
  <c r="Q232" i="19"/>
  <c r="A233" i="19"/>
  <c r="O233" i="19"/>
  <c r="Q233" i="19"/>
  <c r="A234" i="19"/>
  <c r="A235" i="19"/>
  <c r="A236" i="19"/>
  <c r="A237" i="19"/>
  <c r="O237" i="19"/>
  <c r="U237" i="19" s="1"/>
  <c r="Q237" i="19"/>
  <c r="W237" i="19" s="1"/>
  <c r="E238" i="19"/>
  <c r="X238" i="19"/>
  <c r="A239" i="19"/>
  <c r="O239" i="19"/>
  <c r="Q239" i="19"/>
  <c r="X258" i="19"/>
  <c r="X257" i="19"/>
  <c r="X256" i="19"/>
  <c r="X255" i="19"/>
  <c r="X254" i="19"/>
  <c r="X253" i="19"/>
  <c r="X252" i="19"/>
  <c r="X251" i="19"/>
  <c r="X250" i="19"/>
  <c r="X249" i="19"/>
  <c r="X248" i="19"/>
  <c r="X247" i="19"/>
  <c r="X246" i="19"/>
  <c r="X245" i="19"/>
  <c r="X244" i="19"/>
  <c r="X243" i="19"/>
  <c r="X242" i="19"/>
  <c r="X241" i="19"/>
  <c r="X240" i="19"/>
  <c r="X239" i="19"/>
  <c r="A240" i="19"/>
  <c r="O240" i="19"/>
  <c r="Q240" i="19"/>
  <c r="A241" i="19"/>
  <c r="O241" i="19"/>
  <c r="Q241" i="19"/>
  <c r="A242" i="19"/>
  <c r="O242" i="19"/>
  <c r="Q242" i="19"/>
  <c r="A243" i="19"/>
  <c r="O243" i="19"/>
  <c r="Q243" i="19"/>
  <c r="A244" i="19"/>
  <c r="O244" i="19"/>
  <c r="Q244" i="19"/>
  <c r="A245" i="19"/>
  <c r="O245" i="19"/>
  <c r="Q245" i="19"/>
  <c r="A246" i="19"/>
  <c r="O246" i="19"/>
  <c r="Q246" i="19"/>
  <c r="A247" i="19"/>
  <c r="O247" i="19"/>
  <c r="Q247" i="19"/>
  <c r="A248" i="19"/>
  <c r="O248" i="19"/>
  <c r="Q248" i="19"/>
  <c r="A249" i="19"/>
  <c r="O249" i="19"/>
  <c r="Q249" i="19"/>
  <c r="A250" i="19"/>
  <c r="O250" i="19"/>
  <c r="Q250" i="19"/>
  <c r="A251" i="19"/>
  <c r="O251" i="19"/>
  <c r="Q251" i="19"/>
  <c r="A252" i="19"/>
  <c r="O252" i="19"/>
  <c r="Q252" i="19"/>
  <c r="A253" i="19"/>
  <c r="O253" i="19"/>
  <c r="Q253" i="19"/>
  <c r="A254" i="19"/>
  <c r="O254" i="19"/>
  <c r="Q254" i="19"/>
  <c r="A255" i="19"/>
  <c r="A256" i="19"/>
  <c r="A257" i="19"/>
  <c r="A258" i="19"/>
  <c r="O258" i="19"/>
  <c r="U258" i="19" s="1"/>
  <c r="Q258" i="19"/>
  <c r="W258" i="19" s="1"/>
  <c r="E259" i="19"/>
  <c r="X259" i="19"/>
  <c r="A260" i="19"/>
  <c r="O260" i="19"/>
  <c r="Q260" i="19"/>
  <c r="X279" i="19"/>
  <c r="X278" i="19"/>
  <c r="X277" i="19"/>
  <c r="X276" i="19"/>
  <c r="X275" i="19"/>
  <c r="X274" i="19"/>
  <c r="X273" i="19"/>
  <c r="X272" i="19"/>
  <c r="X271" i="19"/>
  <c r="X270" i="19"/>
  <c r="X269" i="19"/>
  <c r="X268" i="19"/>
  <c r="X267" i="19"/>
  <c r="X266" i="19"/>
  <c r="X265" i="19"/>
  <c r="X264" i="19"/>
  <c r="X263" i="19"/>
  <c r="X262" i="19"/>
  <c r="X261" i="19"/>
  <c r="X260" i="19"/>
  <c r="A261" i="19"/>
  <c r="O261" i="19"/>
  <c r="Q261" i="19"/>
  <c r="A262" i="19"/>
  <c r="O262" i="19"/>
  <c r="Q262" i="19"/>
  <c r="A263" i="19"/>
  <c r="O263" i="19"/>
  <c r="Q263" i="19"/>
  <c r="A264" i="19"/>
  <c r="O264" i="19"/>
  <c r="Q264" i="19"/>
  <c r="A265" i="19"/>
  <c r="O265" i="19"/>
  <c r="Q265" i="19"/>
  <c r="A266" i="19"/>
  <c r="O266" i="19"/>
  <c r="Q266" i="19"/>
  <c r="A267" i="19"/>
  <c r="O267" i="19"/>
  <c r="Q267" i="19"/>
  <c r="A268" i="19"/>
  <c r="O268" i="19"/>
  <c r="Q268" i="19"/>
  <c r="A269" i="19"/>
  <c r="O269" i="19"/>
  <c r="Q269" i="19"/>
  <c r="A270" i="19"/>
  <c r="O270" i="19"/>
  <c r="Q270" i="19"/>
  <c r="A271" i="19"/>
  <c r="O271" i="19"/>
  <c r="Q271" i="19"/>
  <c r="A272" i="19"/>
  <c r="O272" i="19"/>
  <c r="Q272" i="19"/>
  <c r="A273" i="19"/>
  <c r="O273" i="19"/>
  <c r="Q273" i="19"/>
  <c r="A274" i="19"/>
  <c r="O274" i="19"/>
  <c r="Q274" i="19"/>
  <c r="A275" i="19"/>
  <c r="O275" i="19"/>
  <c r="Q275" i="19"/>
  <c r="A276" i="19"/>
  <c r="A277" i="19"/>
  <c r="A278" i="19"/>
  <c r="A279" i="19"/>
  <c r="O279" i="19"/>
  <c r="U279" i="19" s="1"/>
  <c r="Q279" i="19"/>
  <c r="W279" i="19" s="1"/>
  <c r="E280" i="19"/>
  <c r="X280" i="19"/>
  <c r="A281" i="19"/>
  <c r="O281" i="19"/>
  <c r="Q281" i="19"/>
  <c r="X300" i="19"/>
  <c r="X299" i="19"/>
  <c r="X298" i="19"/>
  <c r="X297" i="19"/>
  <c r="X296" i="19"/>
  <c r="X295" i="19"/>
  <c r="X294" i="19"/>
  <c r="X293" i="19"/>
  <c r="X292" i="19"/>
  <c r="X291" i="19"/>
  <c r="X290" i="19"/>
  <c r="X289" i="19"/>
  <c r="X288" i="19"/>
  <c r="X287" i="19"/>
  <c r="X286" i="19"/>
  <c r="X285" i="19"/>
  <c r="X284" i="19"/>
  <c r="X283" i="19"/>
  <c r="X282" i="19"/>
  <c r="X281" i="19"/>
  <c r="A282" i="19"/>
  <c r="O282" i="19"/>
  <c r="Q282" i="19"/>
  <c r="A283" i="19"/>
  <c r="O283" i="19"/>
  <c r="Q283" i="19"/>
  <c r="A284" i="19"/>
  <c r="O284" i="19"/>
  <c r="Q284" i="19"/>
  <c r="A285" i="19"/>
  <c r="O285" i="19"/>
  <c r="Q285" i="19"/>
  <c r="A286" i="19"/>
  <c r="O286" i="19"/>
  <c r="Q286" i="19"/>
  <c r="A287" i="19"/>
  <c r="O287" i="19"/>
  <c r="Q287" i="19"/>
  <c r="A288" i="19"/>
  <c r="O288" i="19"/>
  <c r="Q288" i="19"/>
  <c r="A289" i="19"/>
  <c r="O289" i="19"/>
  <c r="Q289" i="19"/>
  <c r="A290" i="19"/>
  <c r="O290" i="19"/>
  <c r="Q290" i="19"/>
  <c r="A291" i="19"/>
  <c r="O291" i="19"/>
  <c r="Q291" i="19"/>
  <c r="A292" i="19"/>
  <c r="O292" i="19"/>
  <c r="Q292" i="19"/>
  <c r="A293" i="19"/>
  <c r="O293" i="19"/>
  <c r="Q293" i="19"/>
  <c r="A294" i="19"/>
  <c r="O294" i="19"/>
  <c r="Q294" i="19"/>
  <c r="A295" i="19"/>
  <c r="O295" i="19"/>
  <c r="Q295" i="19"/>
  <c r="A296" i="19"/>
  <c r="O296" i="19"/>
  <c r="Q296" i="19"/>
  <c r="A297" i="19"/>
  <c r="A298" i="19"/>
  <c r="A299" i="19"/>
  <c r="A300" i="19"/>
  <c r="O300" i="19"/>
  <c r="U300" i="19" s="1"/>
  <c r="Q300" i="19"/>
  <c r="W300" i="19" s="1"/>
  <c r="E301" i="19"/>
  <c r="X301" i="19"/>
  <c r="A302" i="19"/>
  <c r="O302" i="19"/>
  <c r="Q302" i="19"/>
  <c r="X321" i="19"/>
  <c r="X320" i="19"/>
  <c r="X319" i="19"/>
  <c r="X318" i="19"/>
  <c r="X317" i="19"/>
  <c r="X316" i="19"/>
  <c r="X315" i="19"/>
  <c r="X314" i="19"/>
  <c r="X313" i="19"/>
  <c r="X312" i="19"/>
  <c r="X311" i="19"/>
  <c r="X310" i="19"/>
  <c r="X309" i="19"/>
  <c r="X308" i="19"/>
  <c r="X307" i="19"/>
  <c r="X306" i="19"/>
  <c r="X305" i="19"/>
  <c r="X304" i="19"/>
  <c r="X303" i="19"/>
  <c r="X302" i="19"/>
  <c r="A303" i="19"/>
  <c r="O303" i="19"/>
  <c r="Q303" i="19"/>
  <c r="A304" i="19"/>
  <c r="O304" i="19"/>
  <c r="Q304" i="19"/>
  <c r="A305" i="19"/>
  <c r="O305" i="19"/>
  <c r="Q305" i="19"/>
  <c r="A306" i="19"/>
  <c r="O306" i="19"/>
  <c r="Q306" i="19"/>
  <c r="A307" i="19"/>
  <c r="O307" i="19"/>
  <c r="Q307" i="19"/>
  <c r="A308" i="19"/>
  <c r="O308" i="19"/>
  <c r="Q308" i="19"/>
  <c r="A309" i="19"/>
  <c r="O309" i="19"/>
  <c r="Q309" i="19"/>
  <c r="A310" i="19"/>
  <c r="O310" i="19"/>
  <c r="Q310" i="19"/>
  <c r="A311" i="19"/>
  <c r="O311" i="19"/>
  <c r="Q311" i="19"/>
  <c r="A312" i="19"/>
  <c r="O312" i="19"/>
  <c r="Q312" i="19"/>
  <c r="A313" i="19"/>
  <c r="O313" i="19"/>
  <c r="Q313" i="19"/>
  <c r="A314" i="19"/>
  <c r="O314" i="19"/>
  <c r="Q314" i="19"/>
  <c r="A315" i="19"/>
  <c r="O315" i="19"/>
  <c r="Q315" i="19"/>
  <c r="A316" i="19"/>
  <c r="O316" i="19"/>
  <c r="Q316" i="19"/>
  <c r="A317" i="19"/>
  <c r="O317" i="19"/>
  <c r="Q317" i="19"/>
  <c r="A318" i="19"/>
  <c r="A319" i="19"/>
  <c r="A320" i="19"/>
  <c r="A321" i="19"/>
  <c r="O321" i="19"/>
  <c r="U321" i="19" s="1"/>
  <c r="Q321" i="19"/>
  <c r="W321" i="19" s="1"/>
  <c r="E322" i="19"/>
  <c r="X322" i="19"/>
  <c r="A323" i="19"/>
  <c r="O323" i="19"/>
  <c r="Q323" i="19"/>
  <c r="X342" i="19"/>
  <c r="X341" i="19"/>
  <c r="X340" i="19"/>
  <c r="X339" i="19"/>
  <c r="X338" i="19"/>
  <c r="X337" i="19"/>
  <c r="X336" i="19"/>
  <c r="X335" i="19"/>
  <c r="X334" i="19"/>
  <c r="X333" i="19"/>
  <c r="X332" i="19"/>
  <c r="X331" i="19"/>
  <c r="X330" i="19"/>
  <c r="X329" i="19"/>
  <c r="X328" i="19"/>
  <c r="X327" i="19"/>
  <c r="X326" i="19"/>
  <c r="X325" i="19"/>
  <c r="X324" i="19"/>
  <c r="X323" i="19"/>
  <c r="A324" i="19"/>
  <c r="O324" i="19"/>
  <c r="Q324" i="19"/>
  <c r="A325" i="19"/>
  <c r="O325" i="19"/>
  <c r="Q325" i="19"/>
  <c r="A326" i="19"/>
  <c r="O326" i="19"/>
  <c r="Q326" i="19"/>
  <c r="A327" i="19"/>
  <c r="O327" i="19"/>
  <c r="Q327" i="19"/>
  <c r="A328" i="19"/>
  <c r="O328" i="19"/>
  <c r="Q328" i="19"/>
  <c r="A329" i="19"/>
  <c r="O329" i="19"/>
  <c r="Q329" i="19"/>
  <c r="A330" i="19"/>
  <c r="O330" i="19"/>
  <c r="Q330" i="19"/>
  <c r="A331" i="19"/>
  <c r="O331" i="19"/>
  <c r="Q331" i="19"/>
  <c r="A332" i="19"/>
  <c r="O332" i="19"/>
  <c r="Q332" i="19"/>
  <c r="A333" i="19"/>
  <c r="O333" i="19"/>
  <c r="Q333" i="19"/>
  <c r="A334" i="19"/>
  <c r="O334" i="19"/>
  <c r="Q334" i="19"/>
  <c r="A335" i="19"/>
  <c r="O335" i="19"/>
  <c r="Q335" i="19"/>
  <c r="A336" i="19"/>
  <c r="O336" i="19"/>
  <c r="Q336" i="19"/>
  <c r="A337" i="19"/>
  <c r="O337" i="19"/>
  <c r="Q337" i="19"/>
  <c r="A338" i="19"/>
  <c r="O338" i="19"/>
  <c r="Q338" i="19"/>
  <c r="A339" i="19"/>
  <c r="A340" i="19"/>
  <c r="A341" i="19"/>
  <c r="A342" i="19"/>
  <c r="O342" i="19"/>
  <c r="U342" i="19" s="1"/>
  <c r="Q342" i="19"/>
  <c r="W342" i="19" s="1"/>
  <c r="E343" i="19"/>
  <c r="X343" i="19"/>
  <c r="A344" i="19"/>
  <c r="O344" i="19"/>
  <c r="Q344" i="19"/>
  <c r="X363" i="19"/>
  <c r="X362" i="19"/>
  <c r="X361" i="19"/>
  <c r="X360" i="19"/>
  <c r="X359" i="19"/>
  <c r="X358" i="19"/>
  <c r="X357" i="19"/>
  <c r="X356" i="19"/>
  <c r="X355" i="19"/>
  <c r="X354" i="19"/>
  <c r="X353" i="19"/>
  <c r="X352" i="19"/>
  <c r="X351" i="19"/>
  <c r="X350" i="19"/>
  <c r="X349" i="19"/>
  <c r="X348" i="19"/>
  <c r="X347" i="19"/>
  <c r="X346" i="19"/>
  <c r="X345" i="19"/>
  <c r="X344" i="19"/>
  <c r="A345" i="19"/>
  <c r="O345" i="19"/>
  <c r="Q345" i="19"/>
  <c r="A346" i="19"/>
  <c r="O346" i="19"/>
  <c r="Q346" i="19"/>
  <c r="A347" i="19"/>
  <c r="O347" i="19"/>
  <c r="Q347" i="19"/>
  <c r="A348" i="19"/>
  <c r="O348" i="19"/>
  <c r="Q348" i="19"/>
  <c r="A349" i="19"/>
  <c r="O349" i="19"/>
  <c r="Q349" i="19"/>
  <c r="A350" i="19"/>
  <c r="O350" i="19"/>
  <c r="Q350" i="19"/>
  <c r="A351" i="19"/>
  <c r="O351" i="19"/>
  <c r="Q351" i="19"/>
  <c r="A352" i="19"/>
  <c r="O352" i="19"/>
  <c r="Q352" i="19"/>
  <c r="A353" i="19"/>
  <c r="O353" i="19"/>
  <c r="Q353" i="19"/>
  <c r="A354" i="19"/>
  <c r="O354" i="19"/>
  <c r="Q354" i="19"/>
  <c r="A355" i="19"/>
  <c r="O355" i="19"/>
  <c r="Q355" i="19"/>
  <c r="A356" i="19"/>
  <c r="O356" i="19"/>
  <c r="Q356" i="19"/>
  <c r="A357" i="19"/>
  <c r="O357" i="19"/>
  <c r="Q357" i="19"/>
  <c r="A358" i="19"/>
  <c r="O358" i="19"/>
  <c r="Q358" i="19"/>
  <c r="A359" i="19"/>
  <c r="O359" i="19"/>
  <c r="Q359" i="19"/>
  <c r="A360" i="19"/>
  <c r="A361" i="19"/>
  <c r="A362" i="19"/>
  <c r="A363" i="19"/>
  <c r="O363" i="19"/>
  <c r="U363" i="19" s="1"/>
  <c r="Q363" i="19"/>
  <c r="W363" i="19" s="1"/>
  <c r="E364" i="19"/>
  <c r="X364" i="19"/>
  <c r="A365" i="19"/>
  <c r="O365" i="19"/>
  <c r="Q365" i="19"/>
  <c r="X384" i="19"/>
  <c r="X383" i="19"/>
  <c r="X382" i="19"/>
  <c r="X381" i="19"/>
  <c r="X380" i="19"/>
  <c r="X379" i="19"/>
  <c r="X378" i="19"/>
  <c r="X377" i="19"/>
  <c r="X376" i="19"/>
  <c r="X375" i="19"/>
  <c r="X374" i="19"/>
  <c r="X373" i="19"/>
  <c r="X372" i="19"/>
  <c r="X371" i="19"/>
  <c r="X370" i="19"/>
  <c r="X369" i="19"/>
  <c r="X368" i="19"/>
  <c r="X367" i="19"/>
  <c r="X366" i="19"/>
  <c r="X365" i="19"/>
  <c r="A366" i="19"/>
  <c r="O366" i="19"/>
  <c r="Q366" i="19"/>
  <c r="A367" i="19"/>
  <c r="O367" i="19"/>
  <c r="Q367" i="19"/>
  <c r="A368" i="19"/>
  <c r="O368" i="19"/>
  <c r="Q368" i="19"/>
  <c r="A369" i="19"/>
  <c r="O369" i="19"/>
  <c r="Q369" i="19"/>
  <c r="A370" i="19"/>
  <c r="O370" i="19"/>
  <c r="Q370" i="19"/>
  <c r="A371" i="19"/>
  <c r="O371" i="19"/>
  <c r="Q371" i="19"/>
  <c r="A372" i="19"/>
  <c r="O372" i="19"/>
  <c r="Q372" i="19"/>
  <c r="A373" i="19"/>
  <c r="O373" i="19"/>
  <c r="Q373" i="19"/>
  <c r="A374" i="19"/>
  <c r="O374" i="19"/>
  <c r="Q374" i="19"/>
  <c r="A375" i="19"/>
  <c r="O375" i="19"/>
  <c r="Q375" i="19"/>
  <c r="A376" i="19"/>
  <c r="O376" i="19"/>
  <c r="Q376" i="19"/>
  <c r="A377" i="19"/>
  <c r="O377" i="19"/>
  <c r="Q377" i="19"/>
  <c r="A378" i="19"/>
  <c r="O378" i="19"/>
  <c r="Q378" i="19"/>
  <c r="A379" i="19"/>
  <c r="O379" i="19"/>
  <c r="Q379" i="19"/>
  <c r="A380" i="19"/>
  <c r="O380" i="19"/>
  <c r="Q380" i="19"/>
  <c r="A381" i="19"/>
  <c r="A382" i="19"/>
  <c r="A383" i="19"/>
  <c r="A384" i="19"/>
  <c r="O384" i="19"/>
  <c r="U384" i="19" s="1"/>
  <c r="Q384" i="19"/>
  <c r="W384" i="19" s="1"/>
  <c r="E385" i="19"/>
  <c r="X385" i="19"/>
  <c r="A386" i="19"/>
  <c r="O386" i="19"/>
  <c r="Q386" i="19"/>
  <c r="X405" i="19"/>
  <c r="X404" i="19"/>
  <c r="X403" i="19"/>
  <c r="X402" i="19"/>
  <c r="X401" i="19"/>
  <c r="X400" i="19"/>
  <c r="X399" i="19"/>
  <c r="X398" i="19"/>
  <c r="X397" i="19"/>
  <c r="X396" i="19"/>
  <c r="X395" i="19"/>
  <c r="X394" i="19"/>
  <c r="X393" i="19"/>
  <c r="X392" i="19"/>
  <c r="X391" i="19"/>
  <c r="X390" i="19"/>
  <c r="X389" i="19"/>
  <c r="X388" i="19"/>
  <c r="X387" i="19"/>
  <c r="X386" i="19"/>
  <c r="A387" i="19"/>
  <c r="O387" i="19"/>
  <c r="Q387" i="19"/>
  <c r="A388" i="19"/>
  <c r="O388" i="19"/>
  <c r="Q388" i="19"/>
  <c r="A389" i="19"/>
  <c r="O389" i="19"/>
  <c r="Q389" i="19"/>
  <c r="A390" i="19"/>
  <c r="O390" i="19"/>
  <c r="Q390" i="19"/>
  <c r="A391" i="19"/>
  <c r="O391" i="19"/>
  <c r="Q391" i="19"/>
  <c r="A392" i="19"/>
  <c r="O392" i="19"/>
  <c r="Q392" i="19"/>
  <c r="A393" i="19"/>
  <c r="O393" i="19"/>
  <c r="Q393" i="19"/>
  <c r="A394" i="19"/>
  <c r="O394" i="19"/>
  <c r="Q394" i="19"/>
  <c r="A395" i="19"/>
  <c r="O395" i="19"/>
  <c r="Q395" i="19"/>
  <c r="A396" i="19"/>
  <c r="O396" i="19"/>
  <c r="Q396" i="19"/>
  <c r="A397" i="19"/>
  <c r="O397" i="19"/>
  <c r="Q397" i="19"/>
  <c r="A398" i="19"/>
  <c r="O398" i="19"/>
  <c r="Q398" i="19"/>
  <c r="A399" i="19"/>
  <c r="O399" i="19"/>
  <c r="Q399" i="19"/>
  <c r="A400" i="19"/>
  <c r="O400" i="19"/>
  <c r="Q400" i="19"/>
  <c r="A401" i="19"/>
  <c r="O401" i="19"/>
  <c r="Q401" i="19"/>
  <c r="A402" i="19"/>
  <c r="A403" i="19"/>
  <c r="A404" i="19"/>
  <c r="A405" i="19"/>
  <c r="O405" i="19"/>
  <c r="U405" i="19" s="1"/>
  <c r="Q405" i="19"/>
  <c r="W405" i="19" s="1"/>
  <c r="E406" i="19"/>
  <c r="X406" i="19"/>
  <c r="A407" i="19"/>
  <c r="O407" i="19"/>
  <c r="Q407" i="19"/>
  <c r="X426" i="19"/>
  <c r="X425" i="19"/>
  <c r="X424" i="19"/>
  <c r="X423" i="19"/>
  <c r="X422" i="19"/>
  <c r="X421" i="19"/>
  <c r="X420" i="19"/>
  <c r="X419" i="19"/>
  <c r="X418" i="19"/>
  <c r="X417" i="19"/>
  <c r="X416" i="19"/>
  <c r="X415" i="19"/>
  <c r="X414" i="19"/>
  <c r="X413" i="19"/>
  <c r="X412" i="19"/>
  <c r="X411" i="19"/>
  <c r="X410" i="19"/>
  <c r="X409" i="19"/>
  <c r="X408" i="19"/>
  <c r="X407" i="19"/>
  <c r="A408" i="19"/>
  <c r="O408" i="19"/>
  <c r="Q408" i="19"/>
  <c r="A409" i="19"/>
  <c r="O409" i="19"/>
  <c r="Q409" i="19"/>
  <c r="A410" i="19"/>
  <c r="O410" i="19"/>
  <c r="Q410" i="19"/>
  <c r="A411" i="19"/>
  <c r="O411" i="19"/>
  <c r="Q411" i="19"/>
  <c r="A412" i="19"/>
  <c r="O412" i="19"/>
  <c r="Q412" i="19"/>
  <c r="A413" i="19"/>
  <c r="O413" i="19"/>
  <c r="Q413" i="19"/>
  <c r="A414" i="19"/>
  <c r="O414" i="19"/>
  <c r="Q414" i="19"/>
  <c r="A415" i="19"/>
  <c r="O415" i="19"/>
  <c r="Q415" i="19"/>
  <c r="A416" i="19"/>
  <c r="O416" i="19"/>
  <c r="Q416" i="19"/>
  <c r="A417" i="19"/>
  <c r="O417" i="19"/>
  <c r="Q417" i="19"/>
  <c r="A418" i="19"/>
  <c r="O418" i="19"/>
  <c r="Q418" i="19"/>
  <c r="A419" i="19"/>
  <c r="O419" i="19"/>
  <c r="Q419" i="19"/>
  <c r="A420" i="19"/>
  <c r="O420" i="19"/>
  <c r="Q420" i="19"/>
  <c r="A421" i="19"/>
  <c r="O421" i="19"/>
  <c r="Q421" i="19"/>
  <c r="A422" i="19"/>
  <c r="O422" i="19"/>
  <c r="Q422" i="19"/>
  <c r="A423" i="19"/>
  <c r="A424" i="19"/>
  <c r="A425" i="19"/>
  <c r="A426" i="19"/>
  <c r="O426" i="19"/>
  <c r="U426" i="19" s="1"/>
  <c r="Q426" i="19"/>
  <c r="W426" i="19" s="1"/>
  <c r="E427" i="19"/>
  <c r="X427" i="19"/>
  <c r="A8" i="18"/>
  <c r="O8" i="18"/>
  <c r="Q8" i="18"/>
  <c r="X27" i="18"/>
  <c r="X26" i="18"/>
  <c r="X25" i="18"/>
  <c r="X24" i="18"/>
  <c r="X23" i="18"/>
  <c r="X22" i="18"/>
  <c r="X21" i="18"/>
  <c r="X20" i="18"/>
  <c r="X19" i="18"/>
  <c r="X18" i="18"/>
  <c r="X17" i="18"/>
  <c r="X16" i="18"/>
  <c r="X15" i="18"/>
  <c r="X14" i="18"/>
  <c r="X13" i="18"/>
  <c r="X12" i="18"/>
  <c r="X11" i="18"/>
  <c r="X10" i="18"/>
  <c r="X9" i="18"/>
  <c r="X8" i="18"/>
  <c r="A9" i="18"/>
  <c r="O9" i="18"/>
  <c r="Q9" i="18"/>
  <c r="A10" i="18"/>
  <c r="O10" i="18"/>
  <c r="Q10" i="18"/>
  <c r="A11" i="18"/>
  <c r="O11" i="18"/>
  <c r="Q11" i="18"/>
  <c r="A12" i="18"/>
  <c r="O12" i="18"/>
  <c r="Q12" i="18"/>
  <c r="A13" i="18"/>
  <c r="O13" i="18"/>
  <c r="Q13" i="18"/>
  <c r="A14" i="18"/>
  <c r="O14" i="18"/>
  <c r="Q14" i="18"/>
  <c r="A15" i="18"/>
  <c r="O15" i="18"/>
  <c r="Q15" i="18"/>
  <c r="A16" i="18"/>
  <c r="O16" i="18"/>
  <c r="Q16" i="18"/>
  <c r="A17" i="18"/>
  <c r="O17" i="18"/>
  <c r="Q17" i="18"/>
  <c r="A18" i="18"/>
  <c r="O18" i="18"/>
  <c r="Q18" i="18"/>
  <c r="A19" i="18"/>
  <c r="O19" i="18"/>
  <c r="Q19" i="18"/>
  <c r="A20" i="18"/>
  <c r="O20" i="18"/>
  <c r="Q20" i="18"/>
  <c r="A21" i="18"/>
  <c r="O21" i="18"/>
  <c r="Q21" i="18"/>
  <c r="A22" i="18"/>
  <c r="O22" i="18"/>
  <c r="Q22" i="18"/>
  <c r="A23" i="18"/>
  <c r="O23" i="18"/>
  <c r="Q23" i="18"/>
  <c r="A24" i="18"/>
  <c r="A25" i="18"/>
  <c r="A26" i="18"/>
  <c r="A27" i="18"/>
  <c r="O27" i="18"/>
  <c r="U27" i="18" s="1"/>
  <c r="Q27" i="18"/>
  <c r="W27" i="18" s="1"/>
  <c r="E28" i="18"/>
  <c r="X28" i="18"/>
  <c r="A29" i="18"/>
  <c r="O29" i="18"/>
  <c r="Q29" i="18"/>
  <c r="X48" i="18"/>
  <c r="X47" i="18"/>
  <c r="X46" i="18"/>
  <c r="X45" i="18"/>
  <c r="X44" i="18"/>
  <c r="X43" i="18"/>
  <c r="X42" i="18"/>
  <c r="X41" i="18"/>
  <c r="X40" i="18"/>
  <c r="X39" i="18"/>
  <c r="X38" i="18"/>
  <c r="X37" i="18"/>
  <c r="X36" i="18"/>
  <c r="X35" i="18"/>
  <c r="X34" i="18"/>
  <c r="X33" i="18"/>
  <c r="X32" i="18"/>
  <c r="X31" i="18"/>
  <c r="X30" i="18"/>
  <c r="X29" i="18"/>
  <c r="A30" i="18"/>
  <c r="O30" i="18"/>
  <c r="Q30" i="18"/>
  <c r="A31" i="18"/>
  <c r="O31" i="18"/>
  <c r="Q31" i="18"/>
  <c r="A32" i="18"/>
  <c r="O32" i="18"/>
  <c r="Q32" i="18"/>
  <c r="A33" i="18"/>
  <c r="O33" i="18"/>
  <c r="Q33" i="18"/>
  <c r="A34" i="18"/>
  <c r="O34" i="18"/>
  <c r="Q34" i="18"/>
  <c r="A35" i="18"/>
  <c r="O35" i="18"/>
  <c r="Q35" i="18"/>
  <c r="A36" i="18"/>
  <c r="O36" i="18"/>
  <c r="Q36" i="18"/>
  <c r="A37" i="18"/>
  <c r="O37" i="18"/>
  <c r="Q37" i="18"/>
  <c r="A38" i="18"/>
  <c r="O38" i="18"/>
  <c r="Q38" i="18"/>
  <c r="A39" i="18"/>
  <c r="O39" i="18"/>
  <c r="Q39" i="18"/>
  <c r="A40" i="18"/>
  <c r="O40" i="18"/>
  <c r="Q40" i="18"/>
  <c r="A41" i="18"/>
  <c r="O41" i="18"/>
  <c r="Q41" i="18"/>
  <c r="A42" i="18"/>
  <c r="O42" i="18"/>
  <c r="Q42" i="18"/>
  <c r="A43" i="18"/>
  <c r="O43" i="18"/>
  <c r="Q43" i="18"/>
  <c r="A44" i="18"/>
  <c r="O44" i="18"/>
  <c r="Q44" i="18"/>
  <c r="A45" i="18"/>
  <c r="A46" i="18"/>
  <c r="A47" i="18"/>
  <c r="A48" i="18"/>
  <c r="O48" i="18"/>
  <c r="U48" i="18" s="1"/>
  <c r="Q48" i="18"/>
  <c r="W48" i="18" s="1"/>
  <c r="E49" i="18"/>
  <c r="X49" i="18"/>
  <c r="A50" i="18"/>
  <c r="O50" i="18"/>
  <c r="Q50" i="18"/>
  <c r="X69" i="18"/>
  <c r="X68" i="18"/>
  <c r="X67" i="18"/>
  <c r="X66" i="18"/>
  <c r="X65" i="18"/>
  <c r="X64" i="18"/>
  <c r="X63" i="18"/>
  <c r="X62" i="18"/>
  <c r="X61" i="18"/>
  <c r="X60" i="18"/>
  <c r="X59" i="18"/>
  <c r="X58" i="18"/>
  <c r="X57" i="18"/>
  <c r="X56" i="18"/>
  <c r="X55" i="18"/>
  <c r="X54" i="18"/>
  <c r="X53" i="18"/>
  <c r="X52" i="18"/>
  <c r="X51" i="18"/>
  <c r="X50" i="18"/>
  <c r="A51" i="18"/>
  <c r="O51" i="18"/>
  <c r="Q51" i="18"/>
  <c r="A52" i="18"/>
  <c r="O52" i="18"/>
  <c r="Q52" i="18"/>
  <c r="A53" i="18"/>
  <c r="O53" i="18"/>
  <c r="Q53" i="18"/>
  <c r="A54" i="18"/>
  <c r="O54" i="18"/>
  <c r="Q54" i="18"/>
  <c r="A55" i="18"/>
  <c r="O55" i="18"/>
  <c r="Q55" i="18"/>
  <c r="A56" i="18"/>
  <c r="O56" i="18"/>
  <c r="Q56" i="18"/>
  <c r="A57" i="18"/>
  <c r="O57" i="18"/>
  <c r="Q57" i="18"/>
  <c r="A58" i="18"/>
  <c r="O58" i="18"/>
  <c r="Q58" i="18"/>
  <c r="A59" i="18"/>
  <c r="O59" i="18"/>
  <c r="Q59" i="18"/>
  <c r="A60" i="18"/>
  <c r="O60" i="18"/>
  <c r="Q60" i="18"/>
  <c r="A61" i="18"/>
  <c r="O61" i="18"/>
  <c r="Q61" i="18"/>
  <c r="A62" i="18"/>
  <c r="O62" i="18"/>
  <c r="Q62" i="18"/>
  <c r="A63" i="18"/>
  <c r="O63" i="18"/>
  <c r="Q63" i="18"/>
  <c r="A64" i="18"/>
  <c r="O64" i="18"/>
  <c r="Q64" i="18"/>
  <c r="A65" i="18"/>
  <c r="O65" i="18"/>
  <c r="Q65" i="18"/>
  <c r="A66" i="18"/>
  <c r="A67" i="18"/>
  <c r="A68" i="18"/>
  <c r="A69" i="18"/>
  <c r="O69" i="18"/>
  <c r="U69" i="18" s="1"/>
  <c r="Q69" i="18"/>
  <c r="W69" i="18" s="1"/>
  <c r="E70" i="18"/>
  <c r="X70" i="18"/>
  <c r="A71" i="18"/>
  <c r="O71" i="18"/>
  <c r="Q71" i="18"/>
  <c r="X90" i="18"/>
  <c r="X89" i="18"/>
  <c r="X88" i="18"/>
  <c r="X87" i="18"/>
  <c r="X86" i="18"/>
  <c r="X85" i="18"/>
  <c r="X84" i="18"/>
  <c r="X83" i="18"/>
  <c r="X82" i="18"/>
  <c r="X81" i="18"/>
  <c r="X80" i="18"/>
  <c r="X79" i="18"/>
  <c r="X78" i="18"/>
  <c r="X77" i="18"/>
  <c r="X76" i="18"/>
  <c r="X75" i="18"/>
  <c r="X74" i="18"/>
  <c r="X73" i="18"/>
  <c r="X72" i="18"/>
  <c r="X71" i="18"/>
  <c r="A72" i="18"/>
  <c r="O72" i="18"/>
  <c r="Q72" i="18"/>
  <c r="A73" i="18"/>
  <c r="O73" i="18"/>
  <c r="Q73" i="18"/>
  <c r="A74" i="18"/>
  <c r="O74" i="18"/>
  <c r="Q74" i="18"/>
  <c r="A75" i="18"/>
  <c r="O75" i="18"/>
  <c r="Q75" i="18"/>
  <c r="A76" i="18"/>
  <c r="O76" i="18"/>
  <c r="Q76" i="18"/>
  <c r="A77" i="18"/>
  <c r="O77" i="18"/>
  <c r="Q77" i="18"/>
  <c r="A78" i="18"/>
  <c r="O78" i="18"/>
  <c r="Q78" i="18"/>
  <c r="A79" i="18"/>
  <c r="O79" i="18"/>
  <c r="Q79" i="18"/>
  <c r="A80" i="18"/>
  <c r="O80" i="18"/>
  <c r="Q80" i="18"/>
  <c r="A81" i="18"/>
  <c r="O81" i="18"/>
  <c r="Q81" i="18"/>
  <c r="A82" i="18"/>
  <c r="O82" i="18"/>
  <c r="Q82" i="18"/>
  <c r="A83" i="18"/>
  <c r="O83" i="18"/>
  <c r="Q83" i="18"/>
  <c r="A84" i="18"/>
  <c r="O84" i="18"/>
  <c r="Q84" i="18"/>
  <c r="A85" i="18"/>
  <c r="O85" i="18"/>
  <c r="Q85" i="18"/>
  <c r="A86" i="18"/>
  <c r="O86" i="18"/>
  <c r="Q86" i="18"/>
  <c r="A87" i="18"/>
  <c r="A88" i="18"/>
  <c r="A89" i="18"/>
  <c r="A90" i="18"/>
  <c r="O90" i="18"/>
  <c r="U90" i="18" s="1"/>
  <c r="Q90" i="18"/>
  <c r="W90" i="18" s="1"/>
  <c r="E91" i="18"/>
  <c r="X91" i="18"/>
  <c r="A92" i="18"/>
  <c r="O92" i="18"/>
  <c r="Q92" i="18"/>
  <c r="X111" i="18"/>
  <c r="X110" i="18"/>
  <c r="X109" i="18"/>
  <c r="X108" i="18"/>
  <c r="X107" i="18"/>
  <c r="X106" i="18"/>
  <c r="X105" i="18"/>
  <c r="X104" i="18"/>
  <c r="X103" i="18"/>
  <c r="X102" i="18"/>
  <c r="X101" i="18"/>
  <c r="X100" i="18"/>
  <c r="X99" i="18"/>
  <c r="X98" i="18"/>
  <c r="X97" i="18"/>
  <c r="X96" i="18"/>
  <c r="X95" i="18"/>
  <c r="X94" i="18"/>
  <c r="X93" i="18"/>
  <c r="X92" i="18"/>
  <c r="A93" i="18"/>
  <c r="O93" i="18"/>
  <c r="Q93" i="18"/>
  <c r="A94" i="18"/>
  <c r="O94" i="18"/>
  <c r="Q94" i="18"/>
  <c r="A95" i="18"/>
  <c r="O95" i="18"/>
  <c r="Q95" i="18"/>
  <c r="A96" i="18"/>
  <c r="O96" i="18"/>
  <c r="Q96" i="18"/>
  <c r="A97" i="18"/>
  <c r="O97" i="18"/>
  <c r="Q97" i="18"/>
  <c r="A98" i="18"/>
  <c r="O98" i="18"/>
  <c r="Q98" i="18"/>
  <c r="A99" i="18"/>
  <c r="O99" i="18"/>
  <c r="Q99" i="18"/>
  <c r="A100" i="18"/>
  <c r="O100" i="18"/>
  <c r="Q100" i="18"/>
  <c r="A101" i="18"/>
  <c r="O101" i="18"/>
  <c r="Q101" i="18"/>
  <c r="A102" i="18"/>
  <c r="O102" i="18"/>
  <c r="Q102" i="18"/>
  <c r="A103" i="18"/>
  <c r="O103" i="18"/>
  <c r="Q103" i="18"/>
  <c r="A104" i="18"/>
  <c r="O104" i="18"/>
  <c r="Q104" i="18"/>
  <c r="A105" i="18"/>
  <c r="O105" i="18"/>
  <c r="Q105" i="18"/>
  <c r="A106" i="18"/>
  <c r="O106" i="18"/>
  <c r="Q106" i="18"/>
  <c r="A107" i="18"/>
  <c r="O107" i="18"/>
  <c r="Q107" i="18"/>
  <c r="A108" i="18"/>
  <c r="A109" i="18"/>
  <c r="A110" i="18"/>
  <c r="A111" i="18"/>
  <c r="O111" i="18"/>
  <c r="U111" i="18" s="1"/>
  <c r="Q111" i="18"/>
  <c r="W111" i="18" s="1"/>
  <c r="E112" i="18"/>
  <c r="X112" i="18"/>
  <c r="A113" i="18"/>
  <c r="O113" i="18"/>
  <c r="Q113" i="18"/>
  <c r="X132" i="18"/>
  <c r="X131" i="18"/>
  <c r="X130" i="18"/>
  <c r="X129" i="18"/>
  <c r="X128" i="18"/>
  <c r="X127" i="18"/>
  <c r="X126" i="18"/>
  <c r="X125" i="18"/>
  <c r="X124" i="18"/>
  <c r="X123" i="18"/>
  <c r="X122" i="18"/>
  <c r="X121" i="18"/>
  <c r="X120" i="18"/>
  <c r="X119" i="18"/>
  <c r="X118" i="18"/>
  <c r="X117" i="18"/>
  <c r="X116" i="18"/>
  <c r="X115" i="18"/>
  <c r="X114" i="18"/>
  <c r="X113" i="18"/>
  <c r="A114" i="18"/>
  <c r="O114" i="18"/>
  <c r="Q114" i="18"/>
  <c r="A115" i="18"/>
  <c r="O115" i="18"/>
  <c r="Q115" i="18"/>
  <c r="A116" i="18"/>
  <c r="O116" i="18"/>
  <c r="Q116" i="18"/>
  <c r="A117" i="18"/>
  <c r="O117" i="18"/>
  <c r="Q117" i="18"/>
  <c r="A118" i="18"/>
  <c r="O118" i="18"/>
  <c r="Q118" i="18"/>
  <c r="A119" i="18"/>
  <c r="O119" i="18"/>
  <c r="Q119" i="18"/>
  <c r="A120" i="18"/>
  <c r="O120" i="18"/>
  <c r="Q120" i="18"/>
  <c r="A121" i="18"/>
  <c r="O121" i="18"/>
  <c r="Q121" i="18"/>
  <c r="A122" i="18"/>
  <c r="O122" i="18"/>
  <c r="Q122" i="18"/>
  <c r="A123" i="18"/>
  <c r="O123" i="18"/>
  <c r="Q123" i="18"/>
  <c r="A124" i="18"/>
  <c r="O124" i="18"/>
  <c r="Q124" i="18"/>
  <c r="A125" i="18"/>
  <c r="O125" i="18"/>
  <c r="Q125" i="18"/>
  <c r="A126" i="18"/>
  <c r="O126" i="18"/>
  <c r="Q126" i="18"/>
  <c r="A127" i="18"/>
  <c r="O127" i="18"/>
  <c r="Q127" i="18"/>
  <c r="A128" i="18"/>
  <c r="O128" i="18"/>
  <c r="Q128" i="18"/>
  <c r="A129" i="18"/>
  <c r="A130" i="18"/>
  <c r="A131" i="18"/>
  <c r="A132" i="18"/>
  <c r="O132" i="18"/>
  <c r="U132" i="18" s="1"/>
  <c r="Q132" i="18"/>
  <c r="W132" i="18" s="1"/>
  <c r="E133" i="18"/>
  <c r="X133" i="18"/>
  <c r="A134" i="18"/>
  <c r="O134" i="18"/>
  <c r="Q134" i="18"/>
  <c r="X153" i="18"/>
  <c r="X152" i="18"/>
  <c r="X151" i="18"/>
  <c r="X150" i="18"/>
  <c r="X149" i="18"/>
  <c r="X148" i="18"/>
  <c r="X147" i="18"/>
  <c r="X146" i="18"/>
  <c r="X145" i="18"/>
  <c r="X144" i="18"/>
  <c r="X143" i="18"/>
  <c r="X142" i="18"/>
  <c r="X141" i="18"/>
  <c r="X140" i="18"/>
  <c r="X139" i="18"/>
  <c r="X138" i="18"/>
  <c r="X137" i="18"/>
  <c r="X136" i="18"/>
  <c r="X135" i="18"/>
  <c r="X134" i="18"/>
  <c r="A135" i="18"/>
  <c r="O135" i="18"/>
  <c r="Q135" i="18"/>
  <c r="A136" i="18"/>
  <c r="O136" i="18"/>
  <c r="Q136" i="18"/>
  <c r="A137" i="18"/>
  <c r="O137" i="18"/>
  <c r="Q137" i="18"/>
  <c r="A138" i="18"/>
  <c r="O138" i="18"/>
  <c r="Q138" i="18"/>
  <c r="A139" i="18"/>
  <c r="O139" i="18"/>
  <c r="Q139" i="18"/>
  <c r="A140" i="18"/>
  <c r="O140" i="18"/>
  <c r="Q140" i="18"/>
  <c r="A141" i="18"/>
  <c r="O141" i="18"/>
  <c r="Q141" i="18"/>
  <c r="A142" i="18"/>
  <c r="O142" i="18"/>
  <c r="Q142" i="18"/>
  <c r="A143" i="18"/>
  <c r="O143" i="18"/>
  <c r="Q143" i="18"/>
  <c r="A144" i="18"/>
  <c r="O144" i="18"/>
  <c r="Q144" i="18"/>
  <c r="A145" i="18"/>
  <c r="O145" i="18"/>
  <c r="Q145" i="18"/>
  <c r="A146" i="18"/>
  <c r="O146" i="18"/>
  <c r="Q146" i="18"/>
  <c r="A147" i="18"/>
  <c r="O147" i="18"/>
  <c r="Q147" i="18"/>
  <c r="A148" i="18"/>
  <c r="O148" i="18"/>
  <c r="Q148" i="18"/>
  <c r="A149" i="18"/>
  <c r="O149" i="18"/>
  <c r="Q149" i="18"/>
  <c r="A150" i="18"/>
  <c r="A151" i="18"/>
  <c r="A152" i="18"/>
  <c r="A153" i="18"/>
  <c r="O153" i="18"/>
  <c r="U153" i="18" s="1"/>
  <c r="Q153" i="18"/>
  <c r="W153" i="18" s="1"/>
  <c r="E154" i="18"/>
  <c r="X154" i="18"/>
  <c r="A155" i="18"/>
  <c r="O155" i="18"/>
  <c r="Q155" i="18"/>
  <c r="X174" i="18"/>
  <c r="X173" i="18"/>
  <c r="X172" i="18"/>
  <c r="X171" i="18"/>
  <c r="X170" i="18"/>
  <c r="X169" i="18"/>
  <c r="X168" i="18"/>
  <c r="X167" i="18"/>
  <c r="X166" i="18"/>
  <c r="X165" i="18"/>
  <c r="X164" i="18"/>
  <c r="X163" i="18"/>
  <c r="X162" i="18"/>
  <c r="X161" i="18"/>
  <c r="X160" i="18"/>
  <c r="X159" i="18"/>
  <c r="X158" i="18"/>
  <c r="X157" i="18"/>
  <c r="X156" i="18"/>
  <c r="X155" i="18"/>
  <c r="A156" i="18"/>
  <c r="O156" i="18"/>
  <c r="Q156" i="18"/>
  <c r="A157" i="18"/>
  <c r="O157" i="18"/>
  <c r="Q157" i="18"/>
  <c r="A158" i="18"/>
  <c r="O158" i="18"/>
  <c r="Q158" i="18"/>
  <c r="A159" i="18"/>
  <c r="O159" i="18"/>
  <c r="Q159" i="18"/>
  <c r="A160" i="18"/>
  <c r="O160" i="18"/>
  <c r="Q160" i="18"/>
  <c r="A161" i="18"/>
  <c r="O161" i="18"/>
  <c r="Q161" i="18"/>
  <c r="A162" i="18"/>
  <c r="O162" i="18"/>
  <c r="Q162" i="18"/>
  <c r="A163" i="18"/>
  <c r="O163" i="18"/>
  <c r="Q163" i="18"/>
  <c r="A164" i="18"/>
  <c r="O164" i="18"/>
  <c r="Q164" i="18"/>
  <c r="A165" i="18"/>
  <c r="O165" i="18"/>
  <c r="Q165" i="18"/>
  <c r="A166" i="18"/>
  <c r="O166" i="18"/>
  <c r="Q166" i="18"/>
  <c r="A167" i="18"/>
  <c r="O167" i="18"/>
  <c r="Q167" i="18"/>
  <c r="A168" i="18"/>
  <c r="O168" i="18"/>
  <c r="Q168" i="18"/>
  <c r="A169" i="18"/>
  <c r="O169" i="18"/>
  <c r="Q169" i="18"/>
  <c r="A170" i="18"/>
  <c r="O170" i="18"/>
  <c r="Q170" i="18"/>
  <c r="A171" i="18"/>
  <c r="A172" i="18"/>
  <c r="A173" i="18"/>
  <c r="A174" i="18"/>
  <c r="O174" i="18"/>
  <c r="U174" i="18" s="1"/>
  <c r="Q174" i="18"/>
  <c r="W174" i="18" s="1"/>
  <c r="E175" i="18"/>
  <c r="X175" i="18"/>
  <c r="A176" i="18"/>
  <c r="O176" i="18"/>
  <c r="Q176" i="18"/>
  <c r="X195" i="18"/>
  <c r="X194" i="18"/>
  <c r="X193" i="18"/>
  <c r="X192" i="18"/>
  <c r="X191" i="18"/>
  <c r="X190" i="18"/>
  <c r="X189" i="18"/>
  <c r="X188" i="18"/>
  <c r="X187" i="18"/>
  <c r="X186" i="18"/>
  <c r="X185" i="18"/>
  <c r="X184" i="18"/>
  <c r="X183" i="18"/>
  <c r="X182" i="18"/>
  <c r="X181" i="18"/>
  <c r="X180" i="18"/>
  <c r="X179" i="18"/>
  <c r="X178" i="18"/>
  <c r="X177" i="18"/>
  <c r="X176" i="18"/>
  <c r="A177" i="18"/>
  <c r="O177" i="18"/>
  <c r="Q177" i="18"/>
  <c r="A178" i="18"/>
  <c r="O178" i="18"/>
  <c r="Q178" i="18"/>
  <c r="A179" i="18"/>
  <c r="O179" i="18"/>
  <c r="Q179" i="18"/>
  <c r="A180" i="18"/>
  <c r="O180" i="18"/>
  <c r="Q180" i="18"/>
  <c r="A181" i="18"/>
  <c r="O181" i="18"/>
  <c r="Q181" i="18"/>
  <c r="A182" i="18"/>
  <c r="O182" i="18"/>
  <c r="Q182" i="18"/>
  <c r="A183" i="18"/>
  <c r="O183" i="18"/>
  <c r="Q183" i="18"/>
  <c r="A184" i="18"/>
  <c r="O184" i="18"/>
  <c r="Q184" i="18"/>
  <c r="A185" i="18"/>
  <c r="O185" i="18"/>
  <c r="Q185" i="18"/>
  <c r="A186" i="18"/>
  <c r="O186" i="18"/>
  <c r="Q186" i="18"/>
  <c r="A187" i="18"/>
  <c r="O187" i="18"/>
  <c r="Q187" i="18"/>
  <c r="A188" i="18"/>
  <c r="O188" i="18"/>
  <c r="Q188" i="18"/>
  <c r="A189" i="18"/>
  <c r="O189" i="18"/>
  <c r="Q189" i="18"/>
  <c r="A190" i="18"/>
  <c r="O190" i="18"/>
  <c r="Q190" i="18"/>
  <c r="A191" i="18"/>
  <c r="O191" i="18"/>
  <c r="Q191" i="18"/>
  <c r="A192" i="18"/>
  <c r="A193" i="18"/>
  <c r="A194" i="18"/>
  <c r="A195" i="18"/>
  <c r="O195" i="18"/>
  <c r="U195" i="18" s="1"/>
  <c r="Q195" i="18"/>
  <c r="W195" i="18" s="1"/>
  <c r="E196" i="18"/>
  <c r="X196" i="18"/>
  <c r="A197" i="18"/>
  <c r="O197" i="18"/>
  <c r="Q197" i="18"/>
  <c r="X216" i="18"/>
  <c r="X215" i="18"/>
  <c r="X214" i="18"/>
  <c r="X213" i="18"/>
  <c r="X212" i="18"/>
  <c r="X211" i="18"/>
  <c r="X210" i="18"/>
  <c r="X209" i="18"/>
  <c r="X208" i="18"/>
  <c r="X207" i="18"/>
  <c r="X206" i="18"/>
  <c r="X205" i="18"/>
  <c r="X204" i="18"/>
  <c r="X203" i="18"/>
  <c r="X202" i="18"/>
  <c r="X201" i="18"/>
  <c r="X200" i="18"/>
  <c r="X199" i="18"/>
  <c r="X198" i="18"/>
  <c r="X197" i="18"/>
  <c r="A198" i="18"/>
  <c r="O198" i="18"/>
  <c r="Q198" i="18"/>
  <c r="A199" i="18"/>
  <c r="O199" i="18"/>
  <c r="Q199" i="18"/>
  <c r="A200" i="18"/>
  <c r="O200" i="18"/>
  <c r="Q200" i="18"/>
  <c r="A201" i="18"/>
  <c r="O201" i="18"/>
  <c r="Q201" i="18"/>
  <c r="A202" i="18"/>
  <c r="O202" i="18"/>
  <c r="Q202" i="18"/>
  <c r="A203" i="18"/>
  <c r="O203" i="18"/>
  <c r="Q203" i="18"/>
  <c r="A204" i="18"/>
  <c r="O204" i="18"/>
  <c r="Q204" i="18"/>
  <c r="A205" i="18"/>
  <c r="O205" i="18"/>
  <c r="Q205" i="18"/>
  <c r="A206" i="18"/>
  <c r="O206" i="18"/>
  <c r="Q206" i="18"/>
  <c r="A207" i="18"/>
  <c r="O207" i="18"/>
  <c r="Q207" i="18"/>
  <c r="A208" i="18"/>
  <c r="O208" i="18"/>
  <c r="Q208" i="18"/>
  <c r="A209" i="18"/>
  <c r="O209" i="18"/>
  <c r="Q209" i="18"/>
  <c r="A210" i="18"/>
  <c r="O210" i="18"/>
  <c r="Q210" i="18"/>
  <c r="A211" i="18"/>
  <c r="O211" i="18"/>
  <c r="Q211" i="18"/>
  <c r="A212" i="18"/>
  <c r="O212" i="18"/>
  <c r="Q212" i="18"/>
  <c r="A213" i="18"/>
  <c r="A214" i="18"/>
  <c r="A215" i="18"/>
  <c r="A216" i="18"/>
  <c r="O216" i="18"/>
  <c r="U216" i="18" s="1"/>
  <c r="Q216" i="18"/>
  <c r="W216" i="18" s="1"/>
  <c r="E217" i="18"/>
  <c r="X217" i="18"/>
  <c r="A218" i="18"/>
  <c r="O218" i="18"/>
  <c r="Q218" i="18"/>
  <c r="X237" i="18"/>
  <c r="X236" i="18"/>
  <c r="X235" i="18"/>
  <c r="X234" i="18"/>
  <c r="X233" i="18"/>
  <c r="X232" i="18"/>
  <c r="X231" i="18"/>
  <c r="X230" i="18"/>
  <c r="X229" i="18"/>
  <c r="X228" i="18"/>
  <c r="X227" i="18"/>
  <c r="X226" i="18"/>
  <c r="X225" i="18"/>
  <c r="X224" i="18"/>
  <c r="X223" i="18"/>
  <c r="X222" i="18"/>
  <c r="X221" i="18"/>
  <c r="X220" i="18"/>
  <c r="X219" i="18"/>
  <c r="X218" i="18"/>
  <c r="A219" i="18"/>
  <c r="O219" i="18"/>
  <c r="Q219" i="18"/>
  <c r="A220" i="18"/>
  <c r="O220" i="18"/>
  <c r="Q220" i="18"/>
  <c r="A221" i="18"/>
  <c r="O221" i="18"/>
  <c r="Q221" i="18"/>
  <c r="A222" i="18"/>
  <c r="O222" i="18"/>
  <c r="Q222" i="18"/>
  <c r="A223" i="18"/>
  <c r="O223" i="18"/>
  <c r="Q223" i="18"/>
  <c r="A224" i="18"/>
  <c r="O224" i="18"/>
  <c r="Q224" i="18"/>
  <c r="A225" i="18"/>
  <c r="O225" i="18"/>
  <c r="Q225" i="18"/>
  <c r="A226" i="18"/>
  <c r="O226" i="18"/>
  <c r="Q226" i="18"/>
  <c r="A227" i="18"/>
  <c r="O227" i="18"/>
  <c r="Q227" i="18"/>
  <c r="A228" i="18"/>
  <c r="O228" i="18"/>
  <c r="Q228" i="18"/>
  <c r="A229" i="18"/>
  <c r="O229" i="18"/>
  <c r="Q229" i="18"/>
  <c r="A230" i="18"/>
  <c r="O230" i="18"/>
  <c r="Q230" i="18"/>
  <c r="A231" i="18"/>
  <c r="O231" i="18"/>
  <c r="Q231" i="18"/>
  <c r="A232" i="18"/>
  <c r="O232" i="18"/>
  <c r="Q232" i="18"/>
  <c r="A233" i="18"/>
  <c r="O233" i="18"/>
  <c r="Q233" i="18"/>
  <c r="A234" i="18"/>
  <c r="A235" i="18"/>
  <c r="A236" i="18"/>
  <c r="A237" i="18"/>
  <c r="O237" i="18"/>
  <c r="U237" i="18" s="1"/>
  <c r="Q237" i="18"/>
  <c r="W237" i="18" s="1"/>
  <c r="E238" i="18"/>
  <c r="X238" i="18"/>
  <c r="A239" i="18"/>
  <c r="O239" i="18"/>
  <c r="Q239" i="18"/>
  <c r="X258" i="18"/>
  <c r="X257" i="18"/>
  <c r="X256" i="18"/>
  <c r="X255" i="18"/>
  <c r="X254" i="18"/>
  <c r="X253" i="18"/>
  <c r="X252" i="18"/>
  <c r="X251" i="18"/>
  <c r="X250" i="18"/>
  <c r="X249" i="18"/>
  <c r="X248" i="18"/>
  <c r="X247" i="18"/>
  <c r="X246" i="18"/>
  <c r="X245" i="18"/>
  <c r="X244" i="18"/>
  <c r="X243" i="18"/>
  <c r="X242" i="18"/>
  <c r="X241" i="18"/>
  <c r="X240" i="18"/>
  <c r="X239" i="18"/>
  <c r="A240" i="18"/>
  <c r="O240" i="18"/>
  <c r="Q240" i="18"/>
  <c r="A241" i="18"/>
  <c r="O241" i="18"/>
  <c r="Q241" i="18"/>
  <c r="A242" i="18"/>
  <c r="O242" i="18"/>
  <c r="Q242" i="18"/>
  <c r="A243" i="18"/>
  <c r="O243" i="18"/>
  <c r="Q243" i="18"/>
  <c r="A244" i="18"/>
  <c r="O244" i="18"/>
  <c r="Q244" i="18"/>
  <c r="A245" i="18"/>
  <c r="O245" i="18"/>
  <c r="Q245" i="18"/>
  <c r="A246" i="18"/>
  <c r="O246" i="18"/>
  <c r="Q246" i="18"/>
  <c r="A247" i="18"/>
  <c r="O247" i="18"/>
  <c r="Q247" i="18"/>
  <c r="A248" i="18"/>
  <c r="O248" i="18"/>
  <c r="Q248" i="18"/>
  <c r="A249" i="18"/>
  <c r="O249" i="18"/>
  <c r="Q249" i="18"/>
  <c r="A250" i="18"/>
  <c r="O250" i="18"/>
  <c r="Q250" i="18"/>
  <c r="A251" i="18"/>
  <c r="O251" i="18"/>
  <c r="Q251" i="18"/>
  <c r="A252" i="18"/>
  <c r="O252" i="18"/>
  <c r="Q252" i="18"/>
  <c r="A253" i="18"/>
  <c r="O253" i="18"/>
  <c r="Q253" i="18"/>
  <c r="A254" i="18"/>
  <c r="O254" i="18"/>
  <c r="Q254" i="18"/>
  <c r="A255" i="18"/>
  <c r="A256" i="18"/>
  <c r="A257" i="18"/>
  <c r="A258" i="18"/>
  <c r="O258" i="18"/>
  <c r="U258" i="18" s="1"/>
  <c r="Q258" i="18"/>
  <c r="W258" i="18" s="1"/>
  <c r="E259" i="18"/>
  <c r="X259" i="18"/>
  <c r="A260" i="18"/>
  <c r="O260" i="18"/>
  <c r="Q260" i="18"/>
  <c r="X279" i="18"/>
  <c r="X278" i="18"/>
  <c r="X277" i="18"/>
  <c r="X276" i="18"/>
  <c r="X275" i="18"/>
  <c r="X274" i="18"/>
  <c r="X273" i="18"/>
  <c r="X272" i="18"/>
  <c r="X271" i="18"/>
  <c r="X270" i="18"/>
  <c r="X269" i="18"/>
  <c r="X268" i="18"/>
  <c r="X267" i="18"/>
  <c r="X266" i="18"/>
  <c r="X265" i="18"/>
  <c r="X264" i="18"/>
  <c r="X263" i="18"/>
  <c r="X262" i="18"/>
  <c r="X261" i="18"/>
  <c r="X260" i="18"/>
  <c r="A261" i="18"/>
  <c r="O261" i="18"/>
  <c r="Q261" i="18"/>
  <c r="A262" i="18"/>
  <c r="O262" i="18"/>
  <c r="Q262" i="18"/>
  <c r="A263" i="18"/>
  <c r="O263" i="18"/>
  <c r="Q263" i="18"/>
  <c r="A264" i="18"/>
  <c r="O264" i="18"/>
  <c r="Q264" i="18"/>
  <c r="A265" i="18"/>
  <c r="O265" i="18"/>
  <c r="Q265" i="18"/>
  <c r="A266" i="18"/>
  <c r="O266" i="18"/>
  <c r="Q266" i="18"/>
  <c r="A267" i="18"/>
  <c r="O267" i="18"/>
  <c r="Q267" i="18"/>
  <c r="A268" i="18"/>
  <c r="O268" i="18"/>
  <c r="Q268" i="18"/>
  <c r="A269" i="18"/>
  <c r="O269" i="18"/>
  <c r="Q269" i="18"/>
  <c r="A270" i="18"/>
  <c r="O270" i="18"/>
  <c r="Q270" i="18"/>
  <c r="A271" i="18"/>
  <c r="O271" i="18"/>
  <c r="Q271" i="18"/>
  <c r="A272" i="18"/>
  <c r="O272" i="18"/>
  <c r="Q272" i="18"/>
  <c r="A273" i="18"/>
  <c r="O273" i="18"/>
  <c r="Q273" i="18"/>
  <c r="A274" i="18"/>
  <c r="O274" i="18"/>
  <c r="Q274" i="18"/>
  <c r="A275" i="18"/>
  <c r="O275" i="18"/>
  <c r="Q275" i="18"/>
  <c r="A276" i="18"/>
  <c r="A277" i="18"/>
  <c r="A278" i="18"/>
  <c r="A279" i="18"/>
  <c r="O279" i="18"/>
  <c r="U279" i="18" s="1"/>
  <c r="Q279" i="18"/>
  <c r="W279" i="18" s="1"/>
  <c r="E280" i="18"/>
  <c r="X280" i="18"/>
  <c r="A281" i="18"/>
  <c r="O281" i="18"/>
  <c r="Q281" i="18"/>
  <c r="X300" i="18"/>
  <c r="X299" i="18"/>
  <c r="X298" i="18"/>
  <c r="X297" i="18"/>
  <c r="X296" i="18"/>
  <c r="X295" i="18"/>
  <c r="X294" i="18"/>
  <c r="X293" i="18"/>
  <c r="X292" i="18"/>
  <c r="X291" i="18"/>
  <c r="X290" i="18"/>
  <c r="X289" i="18"/>
  <c r="X288" i="18"/>
  <c r="X287" i="18"/>
  <c r="X286" i="18"/>
  <c r="X285" i="18"/>
  <c r="X284" i="18"/>
  <c r="X283" i="18"/>
  <c r="X282" i="18"/>
  <c r="X281" i="18"/>
  <c r="A282" i="18"/>
  <c r="O282" i="18"/>
  <c r="Q282" i="18"/>
  <c r="A283" i="18"/>
  <c r="O283" i="18"/>
  <c r="Q283" i="18"/>
  <c r="A284" i="18"/>
  <c r="O284" i="18"/>
  <c r="Q284" i="18"/>
  <c r="A285" i="18"/>
  <c r="O285" i="18"/>
  <c r="Q285" i="18"/>
  <c r="A286" i="18"/>
  <c r="O286" i="18"/>
  <c r="Q286" i="18"/>
  <c r="A287" i="18"/>
  <c r="O287" i="18"/>
  <c r="Q287" i="18"/>
  <c r="A288" i="18"/>
  <c r="O288" i="18"/>
  <c r="Q288" i="18"/>
  <c r="A289" i="18"/>
  <c r="O289" i="18"/>
  <c r="Q289" i="18"/>
  <c r="A290" i="18"/>
  <c r="O290" i="18"/>
  <c r="Q290" i="18"/>
  <c r="A291" i="18"/>
  <c r="O291" i="18"/>
  <c r="Q291" i="18"/>
  <c r="A292" i="18"/>
  <c r="O292" i="18"/>
  <c r="Q292" i="18"/>
  <c r="A293" i="18"/>
  <c r="O293" i="18"/>
  <c r="Q293" i="18"/>
  <c r="A294" i="18"/>
  <c r="O294" i="18"/>
  <c r="Q294" i="18"/>
  <c r="A295" i="18"/>
  <c r="O295" i="18"/>
  <c r="Q295" i="18"/>
  <c r="A296" i="18"/>
  <c r="O296" i="18"/>
  <c r="Q296" i="18"/>
  <c r="A297" i="18"/>
  <c r="A298" i="18"/>
  <c r="A299" i="18"/>
  <c r="A300" i="18"/>
  <c r="O300" i="18"/>
  <c r="U300" i="18" s="1"/>
  <c r="Q300" i="18"/>
  <c r="W300" i="18" s="1"/>
  <c r="E301" i="18"/>
  <c r="X301" i="18"/>
  <c r="A302" i="18"/>
  <c r="O302" i="18"/>
  <c r="Q302" i="18"/>
  <c r="X321" i="18"/>
  <c r="X320" i="18"/>
  <c r="X319" i="18"/>
  <c r="X318" i="18"/>
  <c r="X317" i="18"/>
  <c r="X316" i="18"/>
  <c r="X315" i="18"/>
  <c r="X314" i="18"/>
  <c r="X313" i="18"/>
  <c r="X312" i="18"/>
  <c r="X311" i="18"/>
  <c r="X310" i="18"/>
  <c r="X309" i="18"/>
  <c r="X308" i="18"/>
  <c r="X307" i="18"/>
  <c r="X306" i="18"/>
  <c r="X305" i="18"/>
  <c r="X304" i="18"/>
  <c r="X303" i="18"/>
  <c r="X302" i="18"/>
  <c r="A303" i="18"/>
  <c r="O303" i="18"/>
  <c r="Q303" i="18"/>
  <c r="A304" i="18"/>
  <c r="O304" i="18"/>
  <c r="Q304" i="18"/>
  <c r="A305" i="18"/>
  <c r="O305" i="18"/>
  <c r="Q305" i="18"/>
  <c r="A306" i="18"/>
  <c r="O306" i="18"/>
  <c r="Q306" i="18"/>
  <c r="A307" i="18"/>
  <c r="O307" i="18"/>
  <c r="Q307" i="18"/>
  <c r="A308" i="18"/>
  <c r="O308" i="18"/>
  <c r="Q308" i="18"/>
  <c r="A309" i="18"/>
  <c r="O309" i="18"/>
  <c r="Q309" i="18"/>
  <c r="A310" i="18"/>
  <c r="O310" i="18"/>
  <c r="Q310" i="18"/>
  <c r="A311" i="18"/>
  <c r="O311" i="18"/>
  <c r="Q311" i="18"/>
  <c r="A312" i="18"/>
  <c r="O312" i="18"/>
  <c r="Q312" i="18"/>
  <c r="A313" i="18"/>
  <c r="O313" i="18"/>
  <c r="Q313" i="18"/>
  <c r="A314" i="18"/>
  <c r="O314" i="18"/>
  <c r="Q314" i="18"/>
  <c r="A315" i="18"/>
  <c r="O315" i="18"/>
  <c r="Q315" i="18"/>
  <c r="A316" i="18"/>
  <c r="O316" i="18"/>
  <c r="Q316" i="18"/>
  <c r="A317" i="18"/>
  <c r="O317" i="18"/>
  <c r="Q317" i="18"/>
  <c r="A318" i="18"/>
  <c r="A319" i="18"/>
  <c r="A320" i="18"/>
  <c r="A321" i="18"/>
  <c r="O321" i="18"/>
  <c r="U321" i="18" s="1"/>
  <c r="Q321" i="18"/>
  <c r="W321" i="18" s="1"/>
  <c r="E322" i="18"/>
  <c r="X322" i="18"/>
  <c r="A323" i="18"/>
  <c r="O323" i="18"/>
  <c r="Q323" i="18"/>
  <c r="X342" i="18"/>
  <c r="X341" i="18"/>
  <c r="X340" i="18"/>
  <c r="X339" i="18"/>
  <c r="X338" i="18"/>
  <c r="X337" i="18"/>
  <c r="X336" i="18"/>
  <c r="X335" i="18"/>
  <c r="X334" i="18"/>
  <c r="X333" i="18"/>
  <c r="X332" i="18"/>
  <c r="X331" i="18"/>
  <c r="X330" i="18"/>
  <c r="X329" i="18"/>
  <c r="X328" i="18"/>
  <c r="X327" i="18"/>
  <c r="X326" i="18"/>
  <c r="X325" i="18"/>
  <c r="X324" i="18"/>
  <c r="X323" i="18"/>
  <c r="A324" i="18"/>
  <c r="O324" i="18"/>
  <c r="Q324" i="18"/>
  <c r="A325" i="18"/>
  <c r="O325" i="18"/>
  <c r="Q325" i="18"/>
  <c r="A326" i="18"/>
  <c r="O326" i="18"/>
  <c r="Q326" i="18"/>
  <c r="A327" i="18"/>
  <c r="O327" i="18"/>
  <c r="Q327" i="18"/>
  <c r="A328" i="18"/>
  <c r="O328" i="18"/>
  <c r="Q328" i="18"/>
  <c r="A329" i="18"/>
  <c r="O329" i="18"/>
  <c r="Q329" i="18"/>
  <c r="A330" i="18"/>
  <c r="O330" i="18"/>
  <c r="Q330" i="18"/>
  <c r="A331" i="18"/>
  <c r="O331" i="18"/>
  <c r="Q331" i="18"/>
  <c r="A332" i="18"/>
  <c r="O332" i="18"/>
  <c r="Q332" i="18"/>
  <c r="A333" i="18"/>
  <c r="O333" i="18"/>
  <c r="Q333" i="18"/>
  <c r="A334" i="18"/>
  <c r="O334" i="18"/>
  <c r="Q334" i="18"/>
  <c r="A335" i="18"/>
  <c r="O335" i="18"/>
  <c r="Q335" i="18"/>
  <c r="A336" i="18"/>
  <c r="O336" i="18"/>
  <c r="Q336" i="18"/>
  <c r="A337" i="18"/>
  <c r="O337" i="18"/>
  <c r="Q337" i="18"/>
  <c r="A338" i="18"/>
  <c r="O338" i="18"/>
  <c r="Q338" i="18"/>
  <c r="A339" i="18"/>
  <c r="A340" i="18"/>
  <c r="A341" i="18"/>
  <c r="A342" i="18"/>
  <c r="O342" i="18"/>
  <c r="U342" i="18" s="1"/>
  <c r="Q342" i="18"/>
  <c r="W342" i="18" s="1"/>
  <c r="E343" i="18"/>
  <c r="X343" i="18"/>
  <c r="A344" i="18"/>
  <c r="O344" i="18"/>
  <c r="Q344" i="18"/>
  <c r="X363" i="18"/>
  <c r="X362" i="18"/>
  <c r="X361" i="18"/>
  <c r="X360" i="18"/>
  <c r="X359" i="18"/>
  <c r="X358" i="18"/>
  <c r="X357" i="18"/>
  <c r="X356" i="18"/>
  <c r="X355" i="18"/>
  <c r="X354" i="18"/>
  <c r="X353" i="18"/>
  <c r="X352" i="18"/>
  <c r="X351" i="18"/>
  <c r="X350" i="18"/>
  <c r="X349" i="18"/>
  <c r="X348" i="18"/>
  <c r="X347" i="18"/>
  <c r="X346" i="18"/>
  <c r="X345" i="18"/>
  <c r="X344" i="18"/>
  <c r="A345" i="18"/>
  <c r="O345" i="18"/>
  <c r="Q345" i="18"/>
  <c r="A346" i="18"/>
  <c r="O346" i="18"/>
  <c r="Q346" i="18"/>
  <c r="A347" i="18"/>
  <c r="O347" i="18"/>
  <c r="Q347" i="18"/>
  <c r="A348" i="18"/>
  <c r="O348" i="18"/>
  <c r="Q348" i="18"/>
  <c r="A349" i="18"/>
  <c r="O349" i="18"/>
  <c r="Q349" i="18"/>
  <c r="A350" i="18"/>
  <c r="O350" i="18"/>
  <c r="Q350" i="18"/>
  <c r="A351" i="18"/>
  <c r="O351" i="18"/>
  <c r="Q351" i="18"/>
  <c r="A352" i="18"/>
  <c r="O352" i="18"/>
  <c r="Q352" i="18"/>
  <c r="A353" i="18"/>
  <c r="O353" i="18"/>
  <c r="Q353" i="18"/>
  <c r="A354" i="18"/>
  <c r="O354" i="18"/>
  <c r="Q354" i="18"/>
  <c r="A355" i="18"/>
  <c r="O355" i="18"/>
  <c r="Q355" i="18"/>
  <c r="A356" i="18"/>
  <c r="O356" i="18"/>
  <c r="Q356" i="18"/>
  <c r="A357" i="18"/>
  <c r="O357" i="18"/>
  <c r="Q357" i="18"/>
  <c r="A358" i="18"/>
  <c r="O358" i="18"/>
  <c r="Q358" i="18"/>
  <c r="A359" i="18"/>
  <c r="O359" i="18"/>
  <c r="Q359" i="18"/>
  <c r="A360" i="18"/>
  <c r="A361" i="18"/>
  <c r="A362" i="18"/>
  <c r="A363" i="18"/>
  <c r="O363" i="18"/>
  <c r="U363" i="18" s="1"/>
  <c r="Q363" i="18"/>
  <c r="W363" i="18" s="1"/>
  <c r="E364" i="18"/>
  <c r="X364" i="18"/>
  <c r="A365" i="18"/>
  <c r="O365" i="18"/>
  <c r="Q365" i="18"/>
  <c r="X384" i="18"/>
  <c r="X383" i="18"/>
  <c r="X382" i="18"/>
  <c r="X381" i="18"/>
  <c r="X380" i="18"/>
  <c r="X379" i="18"/>
  <c r="X378" i="18"/>
  <c r="X377" i="18"/>
  <c r="X376" i="18"/>
  <c r="X375" i="18"/>
  <c r="X374" i="18"/>
  <c r="X373" i="18"/>
  <c r="X372" i="18"/>
  <c r="X371" i="18"/>
  <c r="X370" i="18"/>
  <c r="X369" i="18"/>
  <c r="X368" i="18"/>
  <c r="X367" i="18"/>
  <c r="X366" i="18"/>
  <c r="X365" i="18"/>
  <c r="A366" i="18"/>
  <c r="O366" i="18"/>
  <c r="Q366" i="18"/>
  <c r="A367" i="18"/>
  <c r="O367" i="18"/>
  <c r="Q367" i="18"/>
  <c r="A368" i="18"/>
  <c r="O368" i="18"/>
  <c r="Q368" i="18"/>
  <c r="A369" i="18"/>
  <c r="O369" i="18"/>
  <c r="Q369" i="18"/>
  <c r="A370" i="18"/>
  <c r="O370" i="18"/>
  <c r="Q370" i="18"/>
  <c r="A371" i="18"/>
  <c r="O371" i="18"/>
  <c r="Q371" i="18"/>
  <c r="A372" i="18"/>
  <c r="O372" i="18"/>
  <c r="Q372" i="18"/>
  <c r="A373" i="18"/>
  <c r="O373" i="18"/>
  <c r="Q373" i="18"/>
  <c r="A374" i="18"/>
  <c r="O374" i="18"/>
  <c r="Q374" i="18"/>
  <c r="A375" i="18"/>
  <c r="O375" i="18"/>
  <c r="Q375" i="18"/>
  <c r="A376" i="18"/>
  <c r="O376" i="18"/>
  <c r="Q376" i="18"/>
  <c r="A377" i="18"/>
  <c r="O377" i="18"/>
  <c r="Q377" i="18"/>
  <c r="A378" i="18"/>
  <c r="O378" i="18"/>
  <c r="Q378" i="18"/>
  <c r="A379" i="18"/>
  <c r="O379" i="18"/>
  <c r="Q379" i="18"/>
  <c r="A380" i="18"/>
  <c r="O380" i="18"/>
  <c r="Q380" i="18"/>
  <c r="A381" i="18"/>
  <c r="A382" i="18"/>
  <c r="A383" i="18"/>
  <c r="A384" i="18"/>
  <c r="O384" i="18"/>
  <c r="U384" i="18" s="1"/>
  <c r="Q384" i="18"/>
  <c r="W384" i="18" s="1"/>
  <c r="E385" i="18"/>
  <c r="X385" i="18"/>
  <c r="A386" i="18"/>
  <c r="O386" i="18"/>
  <c r="Q386" i="18"/>
  <c r="X405" i="18"/>
  <c r="X404" i="18"/>
  <c r="X403" i="18"/>
  <c r="X402" i="18"/>
  <c r="X401" i="18"/>
  <c r="X400" i="18"/>
  <c r="X399" i="18"/>
  <c r="X398" i="18"/>
  <c r="X397" i="18"/>
  <c r="X396" i="18"/>
  <c r="X395" i="18"/>
  <c r="X394" i="18"/>
  <c r="X393" i="18"/>
  <c r="X392" i="18"/>
  <c r="X391" i="18"/>
  <c r="X390" i="18"/>
  <c r="X389" i="18"/>
  <c r="X388" i="18"/>
  <c r="X387" i="18"/>
  <c r="X386" i="18"/>
  <c r="A387" i="18"/>
  <c r="O387" i="18"/>
  <c r="Q387" i="18"/>
  <c r="A388" i="18"/>
  <c r="O388" i="18"/>
  <c r="Q388" i="18"/>
  <c r="A389" i="18"/>
  <c r="O389" i="18"/>
  <c r="Q389" i="18"/>
  <c r="A390" i="18"/>
  <c r="O390" i="18"/>
  <c r="Q390" i="18"/>
  <c r="A391" i="18"/>
  <c r="O391" i="18"/>
  <c r="Q391" i="18"/>
  <c r="A392" i="18"/>
  <c r="O392" i="18"/>
  <c r="Q392" i="18"/>
  <c r="A393" i="18"/>
  <c r="O393" i="18"/>
  <c r="Q393" i="18"/>
  <c r="A394" i="18"/>
  <c r="O394" i="18"/>
  <c r="Q394" i="18"/>
  <c r="A395" i="18"/>
  <c r="O395" i="18"/>
  <c r="Q395" i="18"/>
  <c r="A396" i="18"/>
  <c r="O396" i="18"/>
  <c r="Q396" i="18"/>
  <c r="A397" i="18"/>
  <c r="O397" i="18"/>
  <c r="Q397" i="18"/>
  <c r="A398" i="18"/>
  <c r="O398" i="18"/>
  <c r="Q398" i="18"/>
  <c r="A399" i="18"/>
  <c r="O399" i="18"/>
  <c r="Q399" i="18"/>
  <c r="A400" i="18"/>
  <c r="O400" i="18"/>
  <c r="Q400" i="18"/>
  <c r="A401" i="18"/>
  <c r="O401" i="18"/>
  <c r="Q401" i="18"/>
  <c r="A402" i="18"/>
  <c r="A403" i="18"/>
  <c r="A404" i="18"/>
  <c r="A405" i="18"/>
  <c r="O405" i="18"/>
  <c r="U405" i="18" s="1"/>
  <c r="Q405" i="18"/>
  <c r="W405" i="18" s="1"/>
  <c r="E406" i="18"/>
  <c r="X406" i="18"/>
  <c r="A407" i="18"/>
  <c r="O407" i="18"/>
  <c r="Q407" i="18"/>
  <c r="X426" i="18"/>
  <c r="X425" i="18"/>
  <c r="X424" i="18"/>
  <c r="X423" i="18"/>
  <c r="X422" i="18"/>
  <c r="X421" i="18"/>
  <c r="X420" i="18"/>
  <c r="X419" i="18"/>
  <c r="X418" i="18"/>
  <c r="X417" i="18"/>
  <c r="X416" i="18"/>
  <c r="X415" i="18"/>
  <c r="X414" i="18"/>
  <c r="X413" i="18"/>
  <c r="X412" i="18"/>
  <c r="X411" i="18"/>
  <c r="X410" i="18"/>
  <c r="X409" i="18"/>
  <c r="X408" i="18"/>
  <c r="X407" i="18"/>
  <c r="A408" i="18"/>
  <c r="O408" i="18"/>
  <c r="Q408" i="18"/>
  <c r="A409" i="18"/>
  <c r="O409" i="18"/>
  <c r="Q409" i="18"/>
  <c r="A410" i="18"/>
  <c r="O410" i="18"/>
  <c r="Q410" i="18"/>
  <c r="A411" i="18"/>
  <c r="O411" i="18"/>
  <c r="Q411" i="18"/>
  <c r="A412" i="18"/>
  <c r="O412" i="18"/>
  <c r="Q412" i="18"/>
  <c r="A413" i="18"/>
  <c r="O413" i="18"/>
  <c r="Q413" i="18"/>
  <c r="A414" i="18"/>
  <c r="O414" i="18"/>
  <c r="Q414" i="18"/>
  <c r="A415" i="18"/>
  <c r="O415" i="18"/>
  <c r="Q415" i="18"/>
  <c r="A416" i="18"/>
  <c r="O416" i="18"/>
  <c r="Q416" i="18"/>
  <c r="A417" i="18"/>
  <c r="O417" i="18"/>
  <c r="Q417" i="18"/>
  <c r="A418" i="18"/>
  <c r="O418" i="18"/>
  <c r="Q418" i="18"/>
  <c r="A419" i="18"/>
  <c r="O419" i="18"/>
  <c r="Q419" i="18"/>
  <c r="A420" i="18"/>
  <c r="O420" i="18"/>
  <c r="Q420" i="18"/>
  <c r="A421" i="18"/>
  <c r="O421" i="18"/>
  <c r="Q421" i="18"/>
  <c r="A422" i="18"/>
  <c r="O422" i="18"/>
  <c r="Q422" i="18"/>
  <c r="A423" i="18"/>
  <c r="A424" i="18"/>
  <c r="A425" i="18"/>
  <c r="A426" i="18"/>
  <c r="O426" i="18"/>
  <c r="U426" i="18" s="1"/>
  <c r="Q426" i="18"/>
  <c r="W426" i="18" s="1"/>
  <c r="E427" i="18"/>
  <c r="X427" i="18"/>
  <c r="A8" i="17"/>
  <c r="O8" i="17"/>
  <c r="Q8" i="17"/>
  <c r="X27" i="17"/>
  <c r="X26" i="17"/>
  <c r="X25" i="17"/>
  <c r="X24" i="17"/>
  <c r="X23" i="17"/>
  <c r="X22" i="17"/>
  <c r="X21" i="17"/>
  <c r="X20" i="17"/>
  <c r="X19" i="17"/>
  <c r="X18" i="17"/>
  <c r="X17" i="17"/>
  <c r="X16" i="17"/>
  <c r="X15" i="17"/>
  <c r="X14" i="17"/>
  <c r="X13" i="17"/>
  <c r="X12" i="17"/>
  <c r="X11" i="17"/>
  <c r="X10" i="17"/>
  <c r="X9" i="17"/>
  <c r="X8" i="17"/>
  <c r="A9" i="17"/>
  <c r="O9" i="17"/>
  <c r="Q9" i="17"/>
  <c r="A10" i="17"/>
  <c r="O10" i="17"/>
  <c r="Q10" i="17"/>
  <c r="A11" i="17"/>
  <c r="O11" i="17"/>
  <c r="Q11" i="17"/>
  <c r="A12" i="17"/>
  <c r="O12" i="17"/>
  <c r="Q12" i="17"/>
  <c r="A13" i="17"/>
  <c r="O13" i="17"/>
  <c r="Q13" i="17"/>
  <c r="A14" i="17"/>
  <c r="O14" i="17"/>
  <c r="Q14" i="17"/>
  <c r="A15" i="17"/>
  <c r="O15" i="17"/>
  <c r="Q15" i="17"/>
  <c r="A16" i="17"/>
  <c r="O16" i="17"/>
  <c r="Q16" i="17"/>
  <c r="A17" i="17"/>
  <c r="O17" i="17"/>
  <c r="Q17" i="17"/>
  <c r="A18" i="17"/>
  <c r="O18" i="17"/>
  <c r="Q18" i="17"/>
  <c r="A19" i="17"/>
  <c r="O19" i="17"/>
  <c r="Q19" i="17"/>
  <c r="A20" i="17"/>
  <c r="O20" i="17"/>
  <c r="Q20" i="17"/>
  <c r="A21" i="17"/>
  <c r="O21" i="17"/>
  <c r="Q21" i="17"/>
  <c r="A22" i="17"/>
  <c r="O22" i="17"/>
  <c r="Q22" i="17"/>
  <c r="A23" i="17"/>
  <c r="O23" i="17"/>
  <c r="Q23" i="17"/>
  <c r="A24" i="17"/>
  <c r="A25" i="17"/>
  <c r="A26" i="17"/>
  <c r="A27" i="17"/>
  <c r="O27" i="17"/>
  <c r="U27" i="17" s="1"/>
  <c r="Q27" i="17"/>
  <c r="W27" i="17" s="1"/>
  <c r="E28" i="17"/>
  <c r="X28" i="17"/>
  <c r="A29" i="17"/>
  <c r="O29" i="17"/>
  <c r="Q29" i="17"/>
  <c r="X48" i="17"/>
  <c r="X47" i="17"/>
  <c r="X46" i="17"/>
  <c r="X45" i="17"/>
  <c r="X44" i="17"/>
  <c r="X43" i="17"/>
  <c r="X42" i="17"/>
  <c r="X41" i="17"/>
  <c r="X40" i="17"/>
  <c r="X39" i="17"/>
  <c r="X38" i="17"/>
  <c r="X37" i="17"/>
  <c r="X36" i="17"/>
  <c r="X35" i="17"/>
  <c r="X34" i="17"/>
  <c r="X33" i="17"/>
  <c r="X32" i="17"/>
  <c r="X31" i="17"/>
  <c r="X30" i="17"/>
  <c r="X29" i="17"/>
  <c r="A30" i="17"/>
  <c r="O30" i="17"/>
  <c r="Q30" i="17"/>
  <c r="A31" i="17"/>
  <c r="O31" i="17"/>
  <c r="Q31" i="17"/>
  <c r="A32" i="17"/>
  <c r="O32" i="17"/>
  <c r="Q32" i="17"/>
  <c r="A33" i="17"/>
  <c r="O33" i="17"/>
  <c r="Q33" i="17"/>
  <c r="A34" i="17"/>
  <c r="O34" i="17"/>
  <c r="Q34" i="17"/>
  <c r="A35" i="17"/>
  <c r="O35" i="17"/>
  <c r="Q35" i="17"/>
  <c r="A36" i="17"/>
  <c r="O36" i="17"/>
  <c r="Q36" i="17"/>
  <c r="A37" i="17"/>
  <c r="O37" i="17"/>
  <c r="Q37" i="17"/>
  <c r="A38" i="17"/>
  <c r="O38" i="17"/>
  <c r="Q38" i="17"/>
  <c r="A39" i="17"/>
  <c r="O39" i="17"/>
  <c r="Q39" i="17"/>
  <c r="A40" i="17"/>
  <c r="O40" i="17"/>
  <c r="Q40" i="17"/>
  <c r="A41" i="17"/>
  <c r="O41" i="17"/>
  <c r="Q41" i="17"/>
  <c r="A42" i="17"/>
  <c r="O42" i="17"/>
  <c r="Q42" i="17"/>
  <c r="A43" i="17"/>
  <c r="O43" i="17"/>
  <c r="Q43" i="17"/>
  <c r="A44" i="17"/>
  <c r="O44" i="17"/>
  <c r="Q44" i="17"/>
  <c r="A45" i="17"/>
  <c r="A46" i="17"/>
  <c r="A47" i="17"/>
  <c r="A48" i="17"/>
  <c r="O48" i="17"/>
  <c r="U48" i="17" s="1"/>
  <c r="Q48" i="17"/>
  <c r="W48" i="17" s="1"/>
  <c r="E49" i="17"/>
  <c r="X49" i="17"/>
  <c r="A50" i="17"/>
  <c r="O50" i="17"/>
  <c r="Q50" i="17"/>
  <c r="X69" i="17"/>
  <c r="X68" i="17"/>
  <c r="X67" i="17"/>
  <c r="X66" i="17"/>
  <c r="X65" i="17"/>
  <c r="X64" i="17"/>
  <c r="X63" i="17"/>
  <c r="X62" i="17"/>
  <c r="X61" i="17"/>
  <c r="X60" i="17"/>
  <c r="X59" i="17"/>
  <c r="X58" i="17"/>
  <c r="X57" i="17"/>
  <c r="X56" i="17"/>
  <c r="X55" i="17"/>
  <c r="X54" i="17"/>
  <c r="X53" i="17"/>
  <c r="X52" i="17"/>
  <c r="X51" i="17"/>
  <c r="X50" i="17"/>
  <c r="A51" i="17"/>
  <c r="O51" i="17"/>
  <c r="Q51" i="17"/>
  <c r="A52" i="17"/>
  <c r="O52" i="17"/>
  <c r="Q52" i="17"/>
  <c r="A53" i="17"/>
  <c r="O53" i="17"/>
  <c r="Q53" i="17"/>
  <c r="A54" i="17"/>
  <c r="O54" i="17"/>
  <c r="Q54" i="17"/>
  <c r="A55" i="17"/>
  <c r="O55" i="17"/>
  <c r="Q55" i="17"/>
  <c r="A56" i="17"/>
  <c r="O56" i="17"/>
  <c r="Q56" i="17"/>
  <c r="A57" i="17"/>
  <c r="O57" i="17"/>
  <c r="Q57" i="17"/>
  <c r="A58" i="17"/>
  <c r="O58" i="17"/>
  <c r="Q58" i="17"/>
  <c r="A59" i="17"/>
  <c r="O59" i="17"/>
  <c r="Q59" i="17"/>
  <c r="A60" i="17"/>
  <c r="O60" i="17"/>
  <c r="Q60" i="17"/>
  <c r="A61" i="17"/>
  <c r="O61" i="17"/>
  <c r="Q61" i="17"/>
  <c r="A62" i="17"/>
  <c r="O62" i="17"/>
  <c r="Q62" i="17"/>
  <c r="A63" i="17"/>
  <c r="O63" i="17"/>
  <c r="Q63" i="17"/>
  <c r="A64" i="17"/>
  <c r="O64" i="17"/>
  <c r="Q64" i="17"/>
  <c r="A65" i="17"/>
  <c r="O65" i="17"/>
  <c r="Q65" i="17"/>
  <c r="A66" i="17"/>
  <c r="A67" i="17"/>
  <c r="A68" i="17"/>
  <c r="A69" i="17"/>
  <c r="O69" i="17"/>
  <c r="U69" i="17" s="1"/>
  <c r="Q69" i="17"/>
  <c r="W69" i="17" s="1"/>
  <c r="E70" i="17"/>
  <c r="X70" i="17"/>
  <c r="A71" i="17"/>
  <c r="O71" i="17"/>
  <c r="Q71" i="17"/>
  <c r="X90" i="17"/>
  <c r="X89" i="17"/>
  <c r="X88" i="17"/>
  <c r="X87" i="17"/>
  <c r="X86" i="17"/>
  <c r="X85" i="17"/>
  <c r="X84" i="17"/>
  <c r="X83" i="17"/>
  <c r="X82" i="17"/>
  <c r="X81" i="17"/>
  <c r="X80" i="17"/>
  <c r="X79" i="17"/>
  <c r="X78" i="17"/>
  <c r="X77" i="17"/>
  <c r="X76" i="17"/>
  <c r="X75" i="17"/>
  <c r="X74" i="17"/>
  <c r="X73" i="17"/>
  <c r="X72" i="17"/>
  <c r="X71" i="17"/>
  <c r="A72" i="17"/>
  <c r="O72" i="17"/>
  <c r="Q72" i="17"/>
  <c r="A73" i="17"/>
  <c r="O73" i="17"/>
  <c r="Q73" i="17"/>
  <c r="A74" i="17"/>
  <c r="O74" i="17"/>
  <c r="Q74" i="17"/>
  <c r="A75" i="17"/>
  <c r="O75" i="17"/>
  <c r="Q75" i="17"/>
  <c r="A76" i="17"/>
  <c r="O76" i="17"/>
  <c r="Q76" i="17"/>
  <c r="A77" i="17"/>
  <c r="O77" i="17"/>
  <c r="Q77" i="17"/>
  <c r="A78" i="17"/>
  <c r="O78" i="17"/>
  <c r="Q78" i="17"/>
  <c r="A79" i="17"/>
  <c r="O79" i="17"/>
  <c r="Q79" i="17"/>
  <c r="A80" i="17"/>
  <c r="O80" i="17"/>
  <c r="Q80" i="17"/>
  <c r="A81" i="17"/>
  <c r="O81" i="17"/>
  <c r="Q81" i="17"/>
  <c r="A82" i="17"/>
  <c r="O82" i="17"/>
  <c r="Q82" i="17"/>
  <c r="A83" i="17"/>
  <c r="O83" i="17"/>
  <c r="Q83" i="17"/>
  <c r="A84" i="17"/>
  <c r="O84" i="17"/>
  <c r="Q84" i="17"/>
  <c r="A85" i="17"/>
  <c r="O85" i="17"/>
  <c r="Q85" i="17"/>
  <c r="A86" i="17"/>
  <c r="O86" i="17"/>
  <c r="Q86" i="17"/>
  <c r="A87" i="17"/>
  <c r="A88" i="17"/>
  <c r="A89" i="17"/>
  <c r="A90" i="17"/>
  <c r="O90" i="17"/>
  <c r="U90" i="17" s="1"/>
  <c r="Q90" i="17"/>
  <c r="W90" i="17" s="1"/>
  <c r="E91" i="17"/>
  <c r="X91" i="17"/>
  <c r="A92" i="17"/>
  <c r="O92" i="17"/>
  <c r="Q92" i="17"/>
  <c r="X111" i="17"/>
  <c r="X110" i="17"/>
  <c r="X109" i="17"/>
  <c r="X108" i="17"/>
  <c r="X107" i="17"/>
  <c r="X106" i="17"/>
  <c r="X105" i="17"/>
  <c r="X104" i="17"/>
  <c r="X103" i="17"/>
  <c r="X102" i="17"/>
  <c r="X101" i="17"/>
  <c r="X100" i="17"/>
  <c r="X99" i="17"/>
  <c r="X98" i="17"/>
  <c r="X97" i="17"/>
  <c r="X96" i="17"/>
  <c r="X95" i="17"/>
  <c r="X94" i="17"/>
  <c r="X93" i="17"/>
  <c r="X92" i="17"/>
  <c r="A93" i="17"/>
  <c r="O93" i="17"/>
  <c r="Q93" i="17"/>
  <c r="A94" i="17"/>
  <c r="O94" i="17"/>
  <c r="Q94" i="17"/>
  <c r="A95" i="17"/>
  <c r="O95" i="17"/>
  <c r="Q95" i="17"/>
  <c r="A96" i="17"/>
  <c r="O96" i="17"/>
  <c r="Q96" i="17"/>
  <c r="A97" i="17"/>
  <c r="O97" i="17"/>
  <c r="Q97" i="17"/>
  <c r="A98" i="17"/>
  <c r="O98" i="17"/>
  <c r="Q98" i="17"/>
  <c r="A99" i="17"/>
  <c r="O99" i="17"/>
  <c r="Q99" i="17"/>
  <c r="A100" i="17"/>
  <c r="O100" i="17"/>
  <c r="Q100" i="17"/>
  <c r="A101" i="17"/>
  <c r="O101" i="17"/>
  <c r="Q101" i="17"/>
  <c r="A102" i="17"/>
  <c r="O102" i="17"/>
  <c r="Q102" i="17"/>
  <c r="A103" i="17"/>
  <c r="O103" i="17"/>
  <c r="Q103" i="17"/>
  <c r="A104" i="17"/>
  <c r="O104" i="17"/>
  <c r="Q104" i="17"/>
  <c r="A105" i="17"/>
  <c r="O105" i="17"/>
  <c r="Q105" i="17"/>
  <c r="A106" i="17"/>
  <c r="O106" i="17"/>
  <c r="Q106" i="17"/>
  <c r="A107" i="17"/>
  <c r="O107" i="17"/>
  <c r="Q107" i="17"/>
  <c r="A108" i="17"/>
  <c r="A109" i="17"/>
  <c r="A110" i="17"/>
  <c r="A111" i="17"/>
  <c r="O111" i="17"/>
  <c r="U111" i="17" s="1"/>
  <c r="Q111" i="17"/>
  <c r="W111" i="17" s="1"/>
  <c r="E112" i="17"/>
  <c r="X112" i="17"/>
  <c r="A113" i="17"/>
  <c r="O113" i="17"/>
  <c r="Q113" i="17"/>
  <c r="X132" i="17"/>
  <c r="X131" i="17"/>
  <c r="X130" i="17"/>
  <c r="X129" i="17"/>
  <c r="X128" i="17"/>
  <c r="X127" i="17"/>
  <c r="X126" i="17"/>
  <c r="X125" i="17"/>
  <c r="X124" i="17"/>
  <c r="X123" i="17"/>
  <c r="X122" i="17"/>
  <c r="X121" i="17"/>
  <c r="X120" i="17"/>
  <c r="X119" i="17"/>
  <c r="X118" i="17"/>
  <c r="X117" i="17"/>
  <c r="X116" i="17"/>
  <c r="X115" i="17"/>
  <c r="X114" i="17"/>
  <c r="X113" i="17"/>
  <c r="A114" i="17"/>
  <c r="O114" i="17"/>
  <c r="Q114" i="17"/>
  <c r="A115" i="17"/>
  <c r="O115" i="17"/>
  <c r="Q115" i="17"/>
  <c r="A116" i="17"/>
  <c r="O116" i="17"/>
  <c r="Q116" i="17"/>
  <c r="A117" i="17"/>
  <c r="O117" i="17"/>
  <c r="Q117" i="17"/>
  <c r="A118" i="17"/>
  <c r="O118" i="17"/>
  <c r="Q118" i="17"/>
  <c r="A119" i="17"/>
  <c r="O119" i="17"/>
  <c r="Q119" i="17"/>
  <c r="A120" i="17"/>
  <c r="O120" i="17"/>
  <c r="Q120" i="17"/>
  <c r="A121" i="17"/>
  <c r="O121" i="17"/>
  <c r="Q121" i="17"/>
  <c r="A122" i="17"/>
  <c r="O122" i="17"/>
  <c r="Q122" i="17"/>
  <c r="A123" i="17"/>
  <c r="O123" i="17"/>
  <c r="Q123" i="17"/>
  <c r="A124" i="17"/>
  <c r="O124" i="17"/>
  <c r="Q124" i="17"/>
  <c r="A125" i="17"/>
  <c r="O125" i="17"/>
  <c r="Q125" i="17"/>
  <c r="A126" i="17"/>
  <c r="O126" i="17"/>
  <c r="Q126" i="17"/>
  <c r="A127" i="17"/>
  <c r="O127" i="17"/>
  <c r="Q127" i="17"/>
  <c r="A128" i="17"/>
  <c r="O128" i="17"/>
  <c r="Q128" i="17"/>
  <c r="A129" i="17"/>
  <c r="A130" i="17"/>
  <c r="A131" i="17"/>
  <c r="A132" i="17"/>
  <c r="O132" i="17"/>
  <c r="U132" i="17" s="1"/>
  <c r="Q132" i="17"/>
  <c r="W132" i="17" s="1"/>
  <c r="E133" i="17"/>
  <c r="X133" i="17"/>
  <c r="A134" i="17"/>
  <c r="O134" i="17"/>
  <c r="Q134" i="17"/>
  <c r="X153" i="17"/>
  <c r="X152" i="17"/>
  <c r="X151" i="17"/>
  <c r="X150" i="17"/>
  <c r="X149" i="17"/>
  <c r="X148" i="17"/>
  <c r="X147" i="17"/>
  <c r="X146" i="17"/>
  <c r="X145" i="17"/>
  <c r="X144" i="17"/>
  <c r="X143" i="17"/>
  <c r="X142" i="17"/>
  <c r="X141" i="17"/>
  <c r="X140" i="17"/>
  <c r="X139" i="17"/>
  <c r="X138" i="17"/>
  <c r="X137" i="17"/>
  <c r="X136" i="17"/>
  <c r="X135" i="17"/>
  <c r="X134" i="17"/>
  <c r="A135" i="17"/>
  <c r="O135" i="17"/>
  <c r="Q135" i="17"/>
  <c r="A136" i="17"/>
  <c r="O136" i="17"/>
  <c r="Q136" i="17"/>
  <c r="A137" i="17"/>
  <c r="O137" i="17"/>
  <c r="Q137" i="17"/>
  <c r="A138" i="17"/>
  <c r="O138" i="17"/>
  <c r="Q138" i="17"/>
  <c r="A139" i="17"/>
  <c r="O139" i="17"/>
  <c r="Q139" i="17"/>
  <c r="A140" i="17"/>
  <c r="O140" i="17"/>
  <c r="Q140" i="17"/>
  <c r="A141" i="17"/>
  <c r="O141" i="17"/>
  <c r="Q141" i="17"/>
  <c r="A142" i="17"/>
  <c r="O142" i="17"/>
  <c r="Q142" i="17"/>
  <c r="A143" i="17"/>
  <c r="O143" i="17"/>
  <c r="Q143" i="17"/>
  <c r="A144" i="17"/>
  <c r="O144" i="17"/>
  <c r="Q144" i="17"/>
  <c r="A145" i="17"/>
  <c r="O145" i="17"/>
  <c r="Q145" i="17"/>
  <c r="A146" i="17"/>
  <c r="O146" i="17"/>
  <c r="Q146" i="17"/>
  <c r="A147" i="17"/>
  <c r="O147" i="17"/>
  <c r="Q147" i="17"/>
  <c r="A148" i="17"/>
  <c r="O148" i="17"/>
  <c r="Q148" i="17"/>
  <c r="A149" i="17"/>
  <c r="O149" i="17"/>
  <c r="Q149" i="17"/>
  <c r="A150" i="17"/>
  <c r="A151" i="17"/>
  <c r="A152" i="17"/>
  <c r="A153" i="17"/>
  <c r="O153" i="17"/>
  <c r="U153" i="17" s="1"/>
  <c r="Q153" i="17"/>
  <c r="W153" i="17" s="1"/>
  <c r="E154" i="17"/>
  <c r="X154" i="17"/>
  <c r="A155" i="17"/>
  <c r="O155" i="17"/>
  <c r="Q155" i="17"/>
  <c r="X174" i="17"/>
  <c r="X173" i="17"/>
  <c r="X172" i="17"/>
  <c r="X171" i="17"/>
  <c r="X170" i="17"/>
  <c r="X169" i="17"/>
  <c r="X168" i="17"/>
  <c r="X167" i="17"/>
  <c r="X166" i="17"/>
  <c r="X165" i="17"/>
  <c r="X164" i="17"/>
  <c r="X163" i="17"/>
  <c r="X162" i="17"/>
  <c r="X161" i="17"/>
  <c r="X160" i="17"/>
  <c r="X159" i="17"/>
  <c r="X158" i="17"/>
  <c r="X157" i="17"/>
  <c r="X156" i="17"/>
  <c r="X155" i="17"/>
  <c r="A156" i="17"/>
  <c r="O156" i="17"/>
  <c r="Q156" i="17"/>
  <c r="A157" i="17"/>
  <c r="O157" i="17"/>
  <c r="Q157" i="17"/>
  <c r="A158" i="17"/>
  <c r="O158" i="17"/>
  <c r="Q158" i="17"/>
  <c r="A159" i="17"/>
  <c r="O159" i="17"/>
  <c r="Q159" i="17"/>
  <c r="A160" i="17"/>
  <c r="O160" i="17"/>
  <c r="Q160" i="17"/>
  <c r="A161" i="17"/>
  <c r="O161" i="17"/>
  <c r="Q161" i="17"/>
  <c r="A162" i="17"/>
  <c r="O162" i="17"/>
  <c r="Q162" i="17"/>
  <c r="A163" i="17"/>
  <c r="O163" i="17"/>
  <c r="Q163" i="17"/>
  <c r="A164" i="17"/>
  <c r="O164" i="17"/>
  <c r="Q164" i="17"/>
  <c r="A165" i="17"/>
  <c r="O165" i="17"/>
  <c r="Q165" i="17"/>
  <c r="A166" i="17"/>
  <c r="O166" i="17"/>
  <c r="Q166" i="17"/>
  <c r="A167" i="17"/>
  <c r="O167" i="17"/>
  <c r="Q167" i="17"/>
  <c r="A168" i="17"/>
  <c r="O168" i="17"/>
  <c r="Q168" i="17"/>
  <c r="A169" i="17"/>
  <c r="O169" i="17"/>
  <c r="Q169" i="17"/>
  <c r="A170" i="17"/>
  <c r="O170" i="17"/>
  <c r="Q170" i="17"/>
  <c r="A171" i="17"/>
  <c r="A172" i="17"/>
  <c r="A173" i="17"/>
  <c r="A174" i="17"/>
  <c r="O174" i="17"/>
  <c r="U174" i="17" s="1"/>
  <c r="Q174" i="17"/>
  <c r="W174" i="17" s="1"/>
  <c r="E175" i="17"/>
  <c r="X175" i="17"/>
  <c r="A176" i="17"/>
  <c r="O176" i="17"/>
  <c r="Q176" i="17"/>
  <c r="X195" i="17"/>
  <c r="X194" i="17"/>
  <c r="X193" i="17"/>
  <c r="X192" i="17"/>
  <c r="X191" i="17"/>
  <c r="X190" i="17"/>
  <c r="X189" i="17"/>
  <c r="X188" i="17"/>
  <c r="X187" i="17"/>
  <c r="X186" i="17"/>
  <c r="X185" i="17"/>
  <c r="X184" i="17"/>
  <c r="X183" i="17"/>
  <c r="X182" i="17"/>
  <c r="X181" i="17"/>
  <c r="X180" i="17"/>
  <c r="X179" i="17"/>
  <c r="X178" i="17"/>
  <c r="X177" i="17"/>
  <c r="X176" i="17"/>
  <c r="A177" i="17"/>
  <c r="O177" i="17"/>
  <c r="Q177" i="17"/>
  <c r="A178" i="17"/>
  <c r="O178" i="17"/>
  <c r="Q178" i="17"/>
  <c r="A179" i="17"/>
  <c r="O179" i="17"/>
  <c r="Q179" i="17"/>
  <c r="A180" i="17"/>
  <c r="O180" i="17"/>
  <c r="Q180" i="17"/>
  <c r="A181" i="17"/>
  <c r="O181" i="17"/>
  <c r="Q181" i="17"/>
  <c r="A182" i="17"/>
  <c r="O182" i="17"/>
  <c r="Q182" i="17"/>
  <c r="A183" i="17"/>
  <c r="O183" i="17"/>
  <c r="Q183" i="17"/>
  <c r="A184" i="17"/>
  <c r="O184" i="17"/>
  <c r="Q184" i="17"/>
  <c r="A185" i="17"/>
  <c r="O185" i="17"/>
  <c r="Q185" i="17"/>
  <c r="A186" i="17"/>
  <c r="O186" i="17"/>
  <c r="Q186" i="17"/>
  <c r="A187" i="17"/>
  <c r="O187" i="17"/>
  <c r="Q187" i="17"/>
  <c r="A188" i="17"/>
  <c r="O188" i="17"/>
  <c r="Q188" i="17"/>
  <c r="A189" i="17"/>
  <c r="O189" i="17"/>
  <c r="Q189" i="17"/>
  <c r="A190" i="17"/>
  <c r="O190" i="17"/>
  <c r="Q190" i="17"/>
  <c r="A191" i="17"/>
  <c r="O191" i="17"/>
  <c r="Q191" i="17"/>
  <c r="A192" i="17"/>
  <c r="A193" i="17"/>
  <c r="A194" i="17"/>
  <c r="A195" i="17"/>
  <c r="O195" i="17"/>
  <c r="U195" i="17" s="1"/>
  <c r="Q195" i="17"/>
  <c r="W195" i="17" s="1"/>
  <c r="E196" i="17"/>
  <c r="X196" i="17"/>
  <c r="A197" i="17"/>
  <c r="O197" i="17"/>
  <c r="Q197" i="17"/>
  <c r="X216" i="17"/>
  <c r="X215" i="17"/>
  <c r="X214" i="17"/>
  <c r="X213" i="17"/>
  <c r="X212" i="17"/>
  <c r="X211" i="17"/>
  <c r="X210" i="17"/>
  <c r="X209" i="17"/>
  <c r="X208" i="17"/>
  <c r="X207" i="17"/>
  <c r="X206" i="17"/>
  <c r="X205" i="17"/>
  <c r="X204" i="17"/>
  <c r="X203" i="17"/>
  <c r="X202" i="17"/>
  <c r="X201" i="17"/>
  <c r="X200" i="17"/>
  <c r="X199" i="17"/>
  <c r="X198" i="17"/>
  <c r="X197" i="17"/>
  <c r="A198" i="17"/>
  <c r="O198" i="17"/>
  <c r="Q198" i="17"/>
  <c r="A199" i="17"/>
  <c r="O199" i="17"/>
  <c r="Q199" i="17"/>
  <c r="A200" i="17"/>
  <c r="O200" i="17"/>
  <c r="Q200" i="17"/>
  <c r="A201" i="17"/>
  <c r="O201" i="17"/>
  <c r="Q201" i="17"/>
  <c r="A202" i="17"/>
  <c r="O202" i="17"/>
  <c r="Q202" i="17"/>
  <c r="A203" i="17"/>
  <c r="O203" i="17"/>
  <c r="Q203" i="17"/>
  <c r="A204" i="17"/>
  <c r="O204" i="17"/>
  <c r="Q204" i="17"/>
  <c r="A205" i="17"/>
  <c r="O205" i="17"/>
  <c r="Q205" i="17"/>
  <c r="A206" i="17"/>
  <c r="O206" i="17"/>
  <c r="Q206" i="17"/>
  <c r="A207" i="17"/>
  <c r="O207" i="17"/>
  <c r="Q207" i="17"/>
  <c r="A208" i="17"/>
  <c r="O208" i="17"/>
  <c r="Q208" i="17"/>
  <c r="A209" i="17"/>
  <c r="O209" i="17"/>
  <c r="Q209" i="17"/>
  <c r="A210" i="17"/>
  <c r="O210" i="17"/>
  <c r="Q210" i="17"/>
  <c r="A211" i="17"/>
  <c r="O211" i="17"/>
  <c r="Q211" i="17"/>
  <c r="A212" i="17"/>
  <c r="O212" i="17"/>
  <c r="Q212" i="17"/>
  <c r="A213" i="17"/>
  <c r="A214" i="17"/>
  <c r="A215" i="17"/>
  <c r="A216" i="17"/>
  <c r="O216" i="17"/>
  <c r="U216" i="17" s="1"/>
  <c r="Q216" i="17"/>
  <c r="W216" i="17" s="1"/>
  <c r="E217" i="17"/>
  <c r="X217" i="17"/>
  <c r="A218" i="17"/>
  <c r="O218" i="17"/>
  <c r="Q218" i="17"/>
  <c r="X237" i="17"/>
  <c r="X236" i="17"/>
  <c r="X235" i="17"/>
  <c r="X234" i="17"/>
  <c r="X233" i="17"/>
  <c r="X232" i="17"/>
  <c r="X231" i="17"/>
  <c r="X230" i="17"/>
  <c r="X229" i="17"/>
  <c r="X228" i="17"/>
  <c r="X227" i="17"/>
  <c r="X226" i="17"/>
  <c r="X225" i="17"/>
  <c r="X224" i="17"/>
  <c r="X223" i="17"/>
  <c r="X222" i="17"/>
  <c r="X221" i="17"/>
  <c r="X220" i="17"/>
  <c r="X219" i="17"/>
  <c r="X218" i="17"/>
  <c r="A219" i="17"/>
  <c r="O219" i="17"/>
  <c r="Q219" i="17"/>
  <c r="A220" i="17"/>
  <c r="O220" i="17"/>
  <c r="Q220" i="17"/>
  <c r="A221" i="17"/>
  <c r="O221" i="17"/>
  <c r="Q221" i="17"/>
  <c r="A222" i="17"/>
  <c r="O222" i="17"/>
  <c r="Q222" i="17"/>
  <c r="A223" i="17"/>
  <c r="O223" i="17"/>
  <c r="Q223" i="17"/>
  <c r="A224" i="17"/>
  <c r="O224" i="17"/>
  <c r="Q224" i="17"/>
  <c r="A225" i="17"/>
  <c r="O225" i="17"/>
  <c r="Q225" i="17"/>
  <c r="A226" i="17"/>
  <c r="O226" i="17"/>
  <c r="Q226" i="17"/>
  <c r="A227" i="17"/>
  <c r="O227" i="17"/>
  <c r="Q227" i="17"/>
  <c r="A228" i="17"/>
  <c r="O228" i="17"/>
  <c r="Q228" i="17"/>
  <c r="A229" i="17"/>
  <c r="O229" i="17"/>
  <c r="Q229" i="17"/>
  <c r="A230" i="17"/>
  <c r="O230" i="17"/>
  <c r="Q230" i="17"/>
  <c r="A231" i="17"/>
  <c r="O231" i="17"/>
  <c r="Q231" i="17"/>
  <c r="A232" i="17"/>
  <c r="O232" i="17"/>
  <c r="Q232" i="17"/>
  <c r="A233" i="17"/>
  <c r="O233" i="17"/>
  <c r="Q233" i="17"/>
  <c r="A234" i="17"/>
  <c r="A235" i="17"/>
  <c r="A236" i="17"/>
  <c r="A237" i="17"/>
  <c r="O237" i="17"/>
  <c r="U237" i="17" s="1"/>
  <c r="Q237" i="17"/>
  <c r="W237" i="17" s="1"/>
  <c r="E238" i="17"/>
  <c r="X238" i="17"/>
  <c r="A239" i="17"/>
  <c r="O239" i="17"/>
  <c r="Q239" i="17"/>
  <c r="X258" i="17"/>
  <c r="X257" i="17"/>
  <c r="X256" i="17"/>
  <c r="X255" i="17"/>
  <c r="X254" i="17"/>
  <c r="X253" i="17"/>
  <c r="X252" i="17"/>
  <c r="X251" i="17"/>
  <c r="X250" i="17"/>
  <c r="X249" i="17"/>
  <c r="X248" i="17"/>
  <c r="X247" i="17"/>
  <c r="X246" i="17"/>
  <c r="X245" i="17"/>
  <c r="X244" i="17"/>
  <c r="X243" i="17"/>
  <c r="X242" i="17"/>
  <c r="X241" i="17"/>
  <c r="X240" i="17"/>
  <c r="X239" i="17"/>
  <c r="A240" i="17"/>
  <c r="O240" i="17"/>
  <c r="Q240" i="17"/>
  <c r="A241" i="17"/>
  <c r="O241" i="17"/>
  <c r="Q241" i="17"/>
  <c r="A242" i="17"/>
  <c r="O242" i="17"/>
  <c r="Q242" i="17"/>
  <c r="A243" i="17"/>
  <c r="O243" i="17"/>
  <c r="Q243" i="17"/>
  <c r="A244" i="17"/>
  <c r="O244" i="17"/>
  <c r="Q244" i="17"/>
  <c r="A245" i="17"/>
  <c r="O245" i="17"/>
  <c r="Q245" i="17"/>
  <c r="A246" i="17"/>
  <c r="O246" i="17"/>
  <c r="Q246" i="17"/>
  <c r="A247" i="17"/>
  <c r="O247" i="17"/>
  <c r="Q247" i="17"/>
  <c r="A248" i="17"/>
  <c r="O248" i="17"/>
  <c r="Q248" i="17"/>
  <c r="A249" i="17"/>
  <c r="O249" i="17"/>
  <c r="Q249" i="17"/>
  <c r="A250" i="17"/>
  <c r="O250" i="17"/>
  <c r="Q250" i="17"/>
  <c r="A251" i="17"/>
  <c r="O251" i="17"/>
  <c r="Q251" i="17"/>
  <c r="A252" i="17"/>
  <c r="O252" i="17"/>
  <c r="Q252" i="17"/>
  <c r="A253" i="17"/>
  <c r="O253" i="17"/>
  <c r="Q253" i="17"/>
  <c r="A254" i="17"/>
  <c r="O254" i="17"/>
  <c r="Q254" i="17"/>
  <c r="A255" i="17"/>
  <c r="A256" i="17"/>
  <c r="A257" i="17"/>
  <c r="A258" i="17"/>
  <c r="O258" i="17"/>
  <c r="U258" i="17" s="1"/>
  <c r="Q258" i="17"/>
  <c r="W258" i="17" s="1"/>
  <c r="E259" i="17"/>
  <c r="X259" i="17"/>
  <c r="A260" i="17"/>
  <c r="O260" i="17"/>
  <c r="Q260" i="17"/>
  <c r="X279" i="17"/>
  <c r="X278" i="17"/>
  <c r="X277" i="17"/>
  <c r="X276" i="17"/>
  <c r="X275" i="17"/>
  <c r="X274" i="17"/>
  <c r="X273" i="17"/>
  <c r="X272" i="17"/>
  <c r="X271" i="17"/>
  <c r="X270" i="17"/>
  <c r="X269" i="17"/>
  <c r="X268" i="17"/>
  <c r="X267" i="17"/>
  <c r="X266" i="17"/>
  <c r="X265" i="17"/>
  <c r="X264" i="17"/>
  <c r="X263" i="17"/>
  <c r="X262" i="17"/>
  <c r="X261" i="17"/>
  <c r="X260" i="17"/>
  <c r="A261" i="17"/>
  <c r="O261" i="17"/>
  <c r="Q261" i="17"/>
  <c r="A262" i="17"/>
  <c r="O262" i="17"/>
  <c r="Q262" i="17"/>
  <c r="A263" i="17"/>
  <c r="O263" i="17"/>
  <c r="Q263" i="17"/>
  <c r="A264" i="17"/>
  <c r="O264" i="17"/>
  <c r="Q264" i="17"/>
  <c r="A265" i="17"/>
  <c r="O265" i="17"/>
  <c r="Q265" i="17"/>
  <c r="A266" i="17"/>
  <c r="O266" i="17"/>
  <c r="Q266" i="17"/>
  <c r="A267" i="17"/>
  <c r="O267" i="17"/>
  <c r="Q267" i="17"/>
  <c r="A268" i="17"/>
  <c r="O268" i="17"/>
  <c r="Q268" i="17"/>
  <c r="A269" i="17"/>
  <c r="O269" i="17"/>
  <c r="Q269" i="17"/>
  <c r="A270" i="17"/>
  <c r="O270" i="17"/>
  <c r="Q270" i="17"/>
  <c r="A271" i="17"/>
  <c r="O271" i="17"/>
  <c r="Q271" i="17"/>
  <c r="A272" i="17"/>
  <c r="O272" i="17"/>
  <c r="Q272" i="17"/>
  <c r="A273" i="17"/>
  <c r="O273" i="17"/>
  <c r="Q273" i="17"/>
  <c r="A274" i="17"/>
  <c r="O274" i="17"/>
  <c r="Q274" i="17"/>
  <c r="A275" i="17"/>
  <c r="O275" i="17"/>
  <c r="Q275" i="17"/>
  <c r="A276" i="17"/>
  <c r="A277" i="17"/>
  <c r="A278" i="17"/>
  <c r="A279" i="17"/>
  <c r="O279" i="17"/>
  <c r="U279" i="17" s="1"/>
  <c r="Q279" i="17"/>
  <c r="W279" i="17" s="1"/>
  <c r="E280" i="17"/>
  <c r="X280" i="17"/>
  <c r="A281" i="17"/>
  <c r="O281" i="17"/>
  <c r="Q281" i="17"/>
  <c r="X300" i="17"/>
  <c r="X299" i="17"/>
  <c r="X298" i="17"/>
  <c r="X297" i="17"/>
  <c r="X296" i="17"/>
  <c r="X295" i="17"/>
  <c r="X294" i="17"/>
  <c r="X293" i="17"/>
  <c r="X292" i="17"/>
  <c r="X291" i="17"/>
  <c r="X290" i="17"/>
  <c r="X289" i="17"/>
  <c r="X288" i="17"/>
  <c r="X287" i="17"/>
  <c r="X286" i="17"/>
  <c r="X285" i="17"/>
  <c r="X284" i="17"/>
  <c r="X283" i="17"/>
  <c r="X282" i="17"/>
  <c r="X281" i="17"/>
  <c r="A282" i="17"/>
  <c r="O282" i="17"/>
  <c r="Q282" i="17"/>
  <c r="A283" i="17"/>
  <c r="O283" i="17"/>
  <c r="Q283" i="17"/>
  <c r="A284" i="17"/>
  <c r="O284" i="17"/>
  <c r="Q284" i="17"/>
  <c r="A285" i="17"/>
  <c r="O285" i="17"/>
  <c r="Q285" i="17"/>
  <c r="A286" i="17"/>
  <c r="O286" i="17"/>
  <c r="Q286" i="17"/>
  <c r="A287" i="17"/>
  <c r="O287" i="17"/>
  <c r="Q287" i="17"/>
  <c r="A288" i="17"/>
  <c r="O288" i="17"/>
  <c r="Q288" i="17"/>
  <c r="A289" i="17"/>
  <c r="O289" i="17"/>
  <c r="Q289" i="17"/>
  <c r="A290" i="17"/>
  <c r="O290" i="17"/>
  <c r="Q290" i="17"/>
  <c r="A291" i="17"/>
  <c r="O291" i="17"/>
  <c r="Q291" i="17"/>
  <c r="A292" i="17"/>
  <c r="O292" i="17"/>
  <c r="Q292" i="17"/>
  <c r="A293" i="17"/>
  <c r="O293" i="17"/>
  <c r="Q293" i="17"/>
  <c r="A294" i="17"/>
  <c r="O294" i="17"/>
  <c r="Q294" i="17"/>
  <c r="A295" i="17"/>
  <c r="O295" i="17"/>
  <c r="Q295" i="17"/>
  <c r="A296" i="17"/>
  <c r="O296" i="17"/>
  <c r="Q296" i="17"/>
  <c r="A297" i="17"/>
  <c r="A298" i="17"/>
  <c r="A299" i="17"/>
  <c r="A300" i="17"/>
  <c r="O300" i="17"/>
  <c r="U300" i="17" s="1"/>
  <c r="Q300" i="17"/>
  <c r="W300" i="17" s="1"/>
  <c r="E301" i="17"/>
  <c r="X301" i="17"/>
  <c r="A302" i="17"/>
  <c r="O302" i="17"/>
  <c r="Q302" i="17"/>
  <c r="X321" i="17"/>
  <c r="X320" i="17"/>
  <c r="X319" i="17"/>
  <c r="X318" i="17"/>
  <c r="X317" i="17"/>
  <c r="X316" i="17"/>
  <c r="X315" i="17"/>
  <c r="X314" i="17"/>
  <c r="X313" i="17"/>
  <c r="X312" i="17"/>
  <c r="X311" i="17"/>
  <c r="X310" i="17"/>
  <c r="X309" i="17"/>
  <c r="X308" i="17"/>
  <c r="X307" i="17"/>
  <c r="X306" i="17"/>
  <c r="X305" i="17"/>
  <c r="X304" i="17"/>
  <c r="X303" i="17"/>
  <c r="X302" i="17"/>
  <c r="A303" i="17"/>
  <c r="O303" i="17"/>
  <c r="Q303" i="17"/>
  <c r="A304" i="17"/>
  <c r="O304" i="17"/>
  <c r="Q304" i="17"/>
  <c r="A305" i="17"/>
  <c r="O305" i="17"/>
  <c r="Q305" i="17"/>
  <c r="A306" i="17"/>
  <c r="O306" i="17"/>
  <c r="Q306" i="17"/>
  <c r="A307" i="17"/>
  <c r="O307" i="17"/>
  <c r="Q307" i="17"/>
  <c r="A308" i="17"/>
  <c r="O308" i="17"/>
  <c r="Q308" i="17"/>
  <c r="A309" i="17"/>
  <c r="O309" i="17"/>
  <c r="Q309" i="17"/>
  <c r="A310" i="17"/>
  <c r="O310" i="17"/>
  <c r="Q310" i="17"/>
  <c r="A311" i="17"/>
  <c r="O311" i="17"/>
  <c r="Q311" i="17"/>
  <c r="A312" i="17"/>
  <c r="O312" i="17"/>
  <c r="Q312" i="17"/>
  <c r="A313" i="17"/>
  <c r="O313" i="17"/>
  <c r="Q313" i="17"/>
  <c r="A314" i="17"/>
  <c r="O314" i="17"/>
  <c r="Q314" i="17"/>
  <c r="A315" i="17"/>
  <c r="O315" i="17"/>
  <c r="Q315" i="17"/>
  <c r="A316" i="17"/>
  <c r="O316" i="17"/>
  <c r="Q316" i="17"/>
  <c r="A317" i="17"/>
  <c r="O317" i="17"/>
  <c r="Q317" i="17"/>
  <c r="A318" i="17"/>
  <c r="A319" i="17"/>
  <c r="A320" i="17"/>
  <c r="A321" i="17"/>
  <c r="O321" i="17"/>
  <c r="U321" i="17" s="1"/>
  <c r="Q321" i="17"/>
  <c r="W321" i="17" s="1"/>
  <c r="E322" i="17"/>
  <c r="X322" i="17"/>
  <c r="A323" i="17"/>
  <c r="O323" i="17"/>
  <c r="Q323" i="17"/>
  <c r="X342" i="17"/>
  <c r="X341" i="17"/>
  <c r="X340" i="17"/>
  <c r="X339" i="17"/>
  <c r="X338" i="17"/>
  <c r="X337" i="17"/>
  <c r="X336" i="17"/>
  <c r="X335" i="17"/>
  <c r="X334" i="17"/>
  <c r="X333" i="17"/>
  <c r="X332" i="17"/>
  <c r="X331" i="17"/>
  <c r="X330" i="17"/>
  <c r="X329" i="17"/>
  <c r="X328" i="17"/>
  <c r="X327" i="17"/>
  <c r="X326" i="17"/>
  <c r="X325" i="17"/>
  <c r="X324" i="17"/>
  <c r="X323" i="17"/>
  <c r="A324" i="17"/>
  <c r="O324" i="17"/>
  <c r="Q324" i="17"/>
  <c r="A325" i="17"/>
  <c r="O325" i="17"/>
  <c r="Q325" i="17"/>
  <c r="A326" i="17"/>
  <c r="O326" i="17"/>
  <c r="Q326" i="17"/>
  <c r="A327" i="17"/>
  <c r="O327" i="17"/>
  <c r="Q327" i="17"/>
  <c r="A328" i="17"/>
  <c r="O328" i="17"/>
  <c r="Q328" i="17"/>
  <c r="A329" i="17"/>
  <c r="O329" i="17"/>
  <c r="Q329" i="17"/>
  <c r="A330" i="17"/>
  <c r="O330" i="17"/>
  <c r="Q330" i="17"/>
  <c r="A331" i="17"/>
  <c r="O331" i="17"/>
  <c r="Q331" i="17"/>
  <c r="A332" i="17"/>
  <c r="O332" i="17"/>
  <c r="Q332" i="17"/>
  <c r="A333" i="17"/>
  <c r="O333" i="17"/>
  <c r="Q333" i="17"/>
  <c r="A334" i="17"/>
  <c r="O334" i="17"/>
  <c r="Q334" i="17"/>
  <c r="A335" i="17"/>
  <c r="O335" i="17"/>
  <c r="Q335" i="17"/>
  <c r="A336" i="17"/>
  <c r="O336" i="17"/>
  <c r="Q336" i="17"/>
  <c r="A337" i="17"/>
  <c r="O337" i="17"/>
  <c r="Q337" i="17"/>
  <c r="A338" i="17"/>
  <c r="O338" i="17"/>
  <c r="Q338" i="17"/>
  <c r="A339" i="17"/>
  <c r="A340" i="17"/>
  <c r="A341" i="17"/>
  <c r="A342" i="17"/>
  <c r="O342" i="17"/>
  <c r="U342" i="17" s="1"/>
  <c r="Q342" i="17"/>
  <c r="W342" i="17" s="1"/>
  <c r="E343" i="17"/>
  <c r="X343" i="17"/>
  <c r="A344" i="17"/>
  <c r="O344" i="17"/>
  <c r="Q344" i="17"/>
  <c r="X363" i="17"/>
  <c r="X362" i="17"/>
  <c r="X361" i="17"/>
  <c r="X360" i="17"/>
  <c r="X359" i="17"/>
  <c r="X358" i="17"/>
  <c r="X357" i="17"/>
  <c r="X356" i="17"/>
  <c r="X355" i="17"/>
  <c r="X354" i="17"/>
  <c r="X353" i="17"/>
  <c r="X352" i="17"/>
  <c r="X351" i="17"/>
  <c r="X350" i="17"/>
  <c r="X349" i="17"/>
  <c r="X348" i="17"/>
  <c r="X347" i="17"/>
  <c r="X346" i="17"/>
  <c r="X345" i="17"/>
  <c r="X344" i="17"/>
  <c r="A345" i="17"/>
  <c r="O345" i="17"/>
  <c r="Q345" i="17"/>
  <c r="A346" i="17"/>
  <c r="O346" i="17"/>
  <c r="Q346" i="17"/>
  <c r="A347" i="17"/>
  <c r="O347" i="17"/>
  <c r="Q347" i="17"/>
  <c r="A348" i="17"/>
  <c r="O348" i="17"/>
  <c r="Q348" i="17"/>
  <c r="A349" i="17"/>
  <c r="O349" i="17"/>
  <c r="Q349" i="17"/>
  <c r="A350" i="17"/>
  <c r="O350" i="17"/>
  <c r="Q350" i="17"/>
  <c r="A351" i="17"/>
  <c r="O351" i="17"/>
  <c r="Q351" i="17"/>
  <c r="A352" i="17"/>
  <c r="O352" i="17"/>
  <c r="Q352" i="17"/>
  <c r="A353" i="17"/>
  <c r="O353" i="17"/>
  <c r="Q353" i="17"/>
  <c r="A354" i="17"/>
  <c r="O354" i="17"/>
  <c r="Q354" i="17"/>
  <c r="A355" i="17"/>
  <c r="O355" i="17"/>
  <c r="Q355" i="17"/>
  <c r="A356" i="17"/>
  <c r="O356" i="17"/>
  <c r="Q356" i="17"/>
  <c r="A357" i="17"/>
  <c r="O357" i="17"/>
  <c r="Q357" i="17"/>
  <c r="A358" i="17"/>
  <c r="O358" i="17"/>
  <c r="Q358" i="17"/>
  <c r="A359" i="17"/>
  <c r="O359" i="17"/>
  <c r="Q359" i="17"/>
  <c r="A360" i="17"/>
  <c r="A361" i="17"/>
  <c r="A362" i="17"/>
  <c r="A363" i="17"/>
  <c r="O363" i="17"/>
  <c r="U363" i="17" s="1"/>
  <c r="Q363" i="17"/>
  <c r="W363" i="17" s="1"/>
  <c r="E364" i="17"/>
  <c r="X364" i="17"/>
  <c r="A365" i="17"/>
  <c r="O365" i="17"/>
  <c r="Q365" i="17"/>
  <c r="X384" i="17"/>
  <c r="X383" i="17"/>
  <c r="X382" i="17"/>
  <c r="X381" i="17"/>
  <c r="X380" i="17"/>
  <c r="X379" i="17"/>
  <c r="X378" i="17"/>
  <c r="X377" i="17"/>
  <c r="X376" i="17"/>
  <c r="X375" i="17"/>
  <c r="X374" i="17"/>
  <c r="X373" i="17"/>
  <c r="X372" i="17"/>
  <c r="X371" i="17"/>
  <c r="X370" i="17"/>
  <c r="X369" i="17"/>
  <c r="X368" i="17"/>
  <c r="X367" i="17"/>
  <c r="X366" i="17"/>
  <c r="X365" i="17"/>
  <c r="A366" i="17"/>
  <c r="O366" i="17"/>
  <c r="Q366" i="17"/>
  <c r="A367" i="17"/>
  <c r="O367" i="17"/>
  <c r="Q367" i="17"/>
  <c r="A368" i="17"/>
  <c r="O368" i="17"/>
  <c r="Q368" i="17"/>
  <c r="A369" i="17"/>
  <c r="O369" i="17"/>
  <c r="Q369" i="17"/>
  <c r="A370" i="17"/>
  <c r="O370" i="17"/>
  <c r="Q370" i="17"/>
  <c r="A371" i="17"/>
  <c r="O371" i="17"/>
  <c r="Q371" i="17"/>
  <c r="A372" i="17"/>
  <c r="O372" i="17"/>
  <c r="Q372" i="17"/>
  <c r="A373" i="17"/>
  <c r="O373" i="17"/>
  <c r="Q373" i="17"/>
  <c r="A374" i="17"/>
  <c r="O374" i="17"/>
  <c r="Q374" i="17"/>
  <c r="A375" i="17"/>
  <c r="O375" i="17"/>
  <c r="Q375" i="17"/>
  <c r="A376" i="17"/>
  <c r="O376" i="17"/>
  <c r="Q376" i="17"/>
  <c r="A377" i="17"/>
  <c r="O377" i="17"/>
  <c r="Q377" i="17"/>
  <c r="A378" i="17"/>
  <c r="O378" i="17"/>
  <c r="Q378" i="17"/>
  <c r="A379" i="17"/>
  <c r="O379" i="17"/>
  <c r="Q379" i="17"/>
  <c r="A380" i="17"/>
  <c r="O380" i="17"/>
  <c r="Q380" i="17"/>
  <c r="A381" i="17"/>
  <c r="A382" i="17"/>
  <c r="A383" i="17"/>
  <c r="A384" i="17"/>
  <c r="O384" i="17"/>
  <c r="U384" i="17" s="1"/>
  <c r="Q384" i="17"/>
  <c r="W384" i="17" s="1"/>
  <c r="E385" i="17"/>
  <c r="X385" i="17"/>
  <c r="A386" i="17"/>
  <c r="O386" i="17"/>
  <c r="Q386" i="17"/>
  <c r="X405" i="17"/>
  <c r="X404" i="17"/>
  <c r="X403" i="17"/>
  <c r="X402" i="17"/>
  <c r="X401" i="17"/>
  <c r="X400" i="17"/>
  <c r="X399" i="17"/>
  <c r="X398" i="17"/>
  <c r="X397" i="17"/>
  <c r="X396" i="17"/>
  <c r="X395" i="17"/>
  <c r="X394" i="17"/>
  <c r="X393" i="17"/>
  <c r="X392" i="17"/>
  <c r="X391" i="17"/>
  <c r="X390" i="17"/>
  <c r="X389" i="17"/>
  <c r="X388" i="17"/>
  <c r="X387" i="17"/>
  <c r="X386" i="17"/>
  <c r="A387" i="17"/>
  <c r="O387" i="17"/>
  <c r="Q387" i="17"/>
  <c r="A388" i="17"/>
  <c r="O388" i="17"/>
  <c r="Q388" i="17"/>
  <c r="A389" i="17"/>
  <c r="O389" i="17"/>
  <c r="Q389" i="17"/>
  <c r="A390" i="17"/>
  <c r="O390" i="17"/>
  <c r="Q390" i="17"/>
  <c r="A391" i="17"/>
  <c r="O391" i="17"/>
  <c r="Q391" i="17"/>
  <c r="A392" i="17"/>
  <c r="O392" i="17"/>
  <c r="Q392" i="17"/>
  <c r="A393" i="17"/>
  <c r="O393" i="17"/>
  <c r="Q393" i="17"/>
  <c r="A394" i="17"/>
  <c r="O394" i="17"/>
  <c r="Q394" i="17"/>
  <c r="A395" i="17"/>
  <c r="O395" i="17"/>
  <c r="Q395" i="17"/>
  <c r="A396" i="17"/>
  <c r="O396" i="17"/>
  <c r="Q396" i="17"/>
  <c r="A397" i="17"/>
  <c r="O397" i="17"/>
  <c r="Q397" i="17"/>
  <c r="A398" i="17"/>
  <c r="O398" i="17"/>
  <c r="Q398" i="17"/>
  <c r="A399" i="17"/>
  <c r="O399" i="17"/>
  <c r="Q399" i="17"/>
  <c r="A400" i="17"/>
  <c r="O400" i="17"/>
  <c r="Q400" i="17"/>
  <c r="A401" i="17"/>
  <c r="O401" i="17"/>
  <c r="Q401" i="17"/>
  <c r="A402" i="17"/>
  <c r="A403" i="17"/>
  <c r="A404" i="17"/>
  <c r="A405" i="17"/>
  <c r="O405" i="17"/>
  <c r="U405" i="17" s="1"/>
  <c r="Q405" i="17"/>
  <c r="W405" i="17" s="1"/>
  <c r="E406" i="17"/>
  <c r="X406" i="17"/>
  <c r="A407" i="17"/>
  <c r="O407" i="17"/>
  <c r="Q407" i="17"/>
  <c r="X426" i="17"/>
  <c r="X425" i="17"/>
  <c r="X424" i="17"/>
  <c r="X423" i="17"/>
  <c r="X422" i="17"/>
  <c r="X421" i="17"/>
  <c r="X420" i="17"/>
  <c r="X419" i="17"/>
  <c r="X418" i="17"/>
  <c r="X417" i="17"/>
  <c r="X416" i="17"/>
  <c r="X415" i="17"/>
  <c r="X414" i="17"/>
  <c r="X413" i="17"/>
  <c r="X412" i="17"/>
  <c r="X411" i="17"/>
  <c r="X410" i="17"/>
  <c r="X409" i="17"/>
  <c r="X408" i="17"/>
  <c r="X407" i="17"/>
  <c r="A408" i="17"/>
  <c r="O408" i="17"/>
  <c r="Q408" i="17"/>
  <c r="A409" i="17"/>
  <c r="O409" i="17"/>
  <c r="Q409" i="17"/>
  <c r="A410" i="17"/>
  <c r="O410" i="17"/>
  <c r="Q410" i="17"/>
  <c r="A411" i="17"/>
  <c r="O411" i="17"/>
  <c r="Q411" i="17"/>
  <c r="A412" i="17"/>
  <c r="O412" i="17"/>
  <c r="Q412" i="17"/>
  <c r="A413" i="17"/>
  <c r="O413" i="17"/>
  <c r="Q413" i="17"/>
  <c r="A414" i="17"/>
  <c r="O414" i="17"/>
  <c r="Q414" i="17"/>
  <c r="A415" i="17"/>
  <c r="O415" i="17"/>
  <c r="Q415" i="17"/>
  <c r="A416" i="17"/>
  <c r="O416" i="17"/>
  <c r="Q416" i="17"/>
  <c r="A417" i="17"/>
  <c r="O417" i="17"/>
  <c r="Q417" i="17"/>
  <c r="A418" i="17"/>
  <c r="O418" i="17"/>
  <c r="Q418" i="17"/>
  <c r="A419" i="17"/>
  <c r="O419" i="17"/>
  <c r="Q419" i="17"/>
  <c r="A420" i="17"/>
  <c r="O420" i="17"/>
  <c r="Q420" i="17"/>
  <c r="A421" i="17"/>
  <c r="O421" i="17"/>
  <c r="Q421" i="17"/>
  <c r="A422" i="17"/>
  <c r="O422" i="17"/>
  <c r="Q422" i="17"/>
  <c r="A423" i="17"/>
  <c r="A424" i="17"/>
  <c r="A425" i="17"/>
  <c r="A426" i="17"/>
  <c r="O426" i="17"/>
  <c r="U426" i="17" s="1"/>
  <c r="Q426" i="17"/>
  <c r="W426" i="17" s="1"/>
  <c r="E427" i="17"/>
  <c r="X427" i="17"/>
  <c r="A8" i="16"/>
  <c r="O8" i="16"/>
  <c r="Q8" i="16"/>
  <c r="X27" i="16"/>
  <c r="X26" i="16"/>
  <c r="X25" i="16"/>
  <c r="X24" i="16"/>
  <c r="X23" i="16"/>
  <c r="X22" i="16"/>
  <c r="X21" i="16"/>
  <c r="X20" i="16"/>
  <c r="X19" i="16"/>
  <c r="X18" i="16"/>
  <c r="X17" i="16"/>
  <c r="X16" i="16"/>
  <c r="X15" i="16"/>
  <c r="X14" i="16"/>
  <c r="X13" i="16"/>
  <c r="X12" i="16"/>
  <c r="X11" i="16"/>
  <c r="X10" i="16"/>
  <c r="X9" i="16"/>
  <c r="X8" i="16"/>
  <c r="A9" i="16"/>
  <c r="O9" i="16"/>
  <c r="Q9" i="16"/>
  <c r="A10" i="16"/>
  <c r="O10" i="16"/>
  <c r="Q10" i="16"/>
  <c r="A11" i="16"/>
  <c r="O11" i="16"/>
  <c r="Q11" i="16"/>
  <c r="A12" i="16"/>
  <c r="O12" i="16"/>
  <c r="Q12" i="16"/>
  <c r="A13" i="16"/>
  <c r="O13" i="16"/>
  <c r="Q13" i="16"/>
  <c r="A14" i="16"/>
  <c r="O14" i="16"/>
  <c r="Q14" i="16"/>
  <c r="A15" i="16"/>
  <c r="O15" i="16"/>
  <c r="Q15" i="16"/>
  <c r="A16" i="16"/>
  <c r="O16" i="16"/>
  <c r="Q16" i="16"/>
  <c r="A17" i="16"/>
  <c r="O17" i="16"/>
  <c r="Q17" i="16"/>
  <c r="A18" i="16"/>
  <c r="O18" i="16"/>
  <c r="Q18" i="16"/>
  <c r="A19" i="16"/>
  <c r="O19" i="16"/>
  <c r="Q19" i="16"/>
  <c r="A20" i="16"/>
  <c r="O20" i="16"/>
  <c r="Q20" i="16"/>
  <c r="A21" i="16"/>
  <c r="O21" i="16"/>
  <c r="Q21" i="16"/>
  <c r="A22" i="16"/>
  <c r="O22" i="16"/>
  <c r="Q22" i="16"/>
  <c r="A23" i="16"/>
  <c r="O23" i="16"/>
  <c r="Q23" i="16"/>
  <c r="A24" i="16"/>
  <c r="A25" i="16"/>
  <c r="A26" i="16"/>
  <c r="A27" i="16"/>
  <c r="O27" i="16"/>
  <c r="U27" i="16" s="1"/>
  <c r="Q27" i="16"/>
  <c r="W27" i="16" s="1"/>
  <c r="E28" i="16"/>
  <c r="X28" i="16"/>
  <c r="A29" i="16"/>
  <c r="O29" i="16"/>
  <c r="Q29" i="16"/>
  <c r="X48" i="16"/>
  <c r="X47" i="16"/>
  <c r="X46" i="16"/>
  <c r="X45" i="16"/>
  <c r="X44" i="16"/>
  <c r="X43" i="16"/>
  <c r="X42" i="16"/>
  <c r="X41" i="16"/>
  <c r="X40" i="16"/>
  <c r="X39" i="16"/>
  <c r="X38" i="16"/>
  <c r="X37" i="16"/>
  <c r="X36" i="16"/>
  <c r="X35" i="16"/>
  <c r="X34" i="16"/>
  <c r="X33" i="16"/>
  <c r="X32" i="16"/>
  <c r="X31" i="16"/>
  <c r="X30" i="16"/>
  <c r="X29" i="16"/>
  <c r="A30" i="16"/>
  <c r="O30" i="16"/>
  <c r="Q30" i="16"/>
  <c r="A31" i="16"/>
  <c r="O31" i="16"/>
  <c r="Q31" i="16"/>
  <c r="A32" i="16"/>
  <c r="O32" i="16"/>
  <c r="Q32" i="16"/>
  <c r="A33" i="16"/>
  <c r="O33" i="16"/>
  <c r="Q33" i="16"/>
  <c r="A34" i="16"/>
  <c r="O34" i="16"/>
  <c r="Q34" i="16"/>
  <c r="A35" i="16"/>
  <c r="O35" i="16"/>
  <c r="Q35" i="16"/>
  <c r="A36" i="16"/>
  <c r="O36" i="16"/>
  <c r="Q36" i="16"/>
  <c r="A37" i="16"/>
  <c r="O37" i="16"/>
  <c r="Q37" i="16"/>
  <c r="A38" i="16"/>
  <c r="O38" i="16"/>
  <c r="Q38" i="16"/>
  <c r="A39" i="16"/>
  <c r="O39" i="16"/>
  <c r="Q39" i="16"/>
  <c r="A40" i="16"/>
  <c r="O40" i="16"/>
  <c r="Q40" i="16"/>
  <c r="A41" i="16"/>
  <c r="O41" i="16"/>
  <c r="Q41" i="16"/>
  <c r="A42" i="16"/>
  <c r="O42" i="16"/>
  <c r="Q42" i="16"/>
  <c r="A43" i="16"/>
  <c r="O43" i="16"/>
  <c r="Q43" i="16"/>
  <c r="A44" i="16"/>
  <c r="O44" i="16"/>
  <c r="Q44" i="16"/>
  <c r="A45" i="16"/>
  <c r="A46" i="16"/>
  <c r="A47" i="16"/>
  <c r="A48" i="16"/>
  <c r="O48" i="16"/>
  <c r="U48" i="16" s="1"/>
  <c r="Q48" i="16"/>
  <c r="W48" i="16" s="1"/>
  <c r="E49" i="16"/>
  <c r="X49" i="16"/>
  <c r="A50" i="16"/>
  <c r="O50" i="16"/>
  <c r="Q50" i="16"/>
  <c r="X69" i="16"/>
  <c r="X68" i="16"/>
  <c r="X67" i="16"/>
  <c r="X66" i="16"/>
  <c r="X65" i="16"/>
  <c r="X64" i="16"/>
  <c r="X63" i="16"/>
  <c r="X62" i="16"/>
  <c r="X61" i="16"/>
  <c r="X60" i="16"/>
  <c r="X59" i="16"/>
  <c r="X58" i="16"/>
  <c r="X57" i="16"/>
  <c r="X56" i="16"/>
  <c r="X55" i="16"/>
  <c r="X54" i="16"/>
  <c r="X53" i="16"/>
  <c r="X52" i="16"/>
  <c r="X51" i="16"/>
  <c r="X50" i="16"/>
  <c r="A51" i="16"/>
  <c r="O51" i="16"/>
  <c r="Q51" i="16"/>
  <c r="A52" i="16"/>
  <c r="O52" i="16"/>
  <c r="Q52" i="16"/>
  <c r="A53" i="16"/>
  <c r="O53" i="16"/>
  <c r="Q53" i="16"/>
  <c r="A54" i="16"/>
  <c r="O54" i="16"/>
  <c r="Q54" i="16"/>
  <c r="A55" i="16"/>
  <c r="O55" i="16"/>
  <c r="Q55" i="16"/>
  <c r="A56" i="16"/>
  <c r="O56" i="16"/>
  <c r="Q56" i="16"/>
  <c r="A57" i="16"/>
  <c r="O57" i="16"/>
  <c r="Q57" i="16"/>
  <c r="A58" i="16"/>
  <c r="O58" i="16"/>
  <c r="Q58" i="16"/>
  <c r="A59" i="16"/>
  <c r="O59" i="16"/>
  <c r="Q59" i="16"/>
  <c r="A60" i="16"/>
  <c r="O60" i="16"/>
  <c r="Q60" i="16"/>
  <c r="A61" i="16"/>
  <c r="O61" i="16"/>
  <c r="Q61" i="16"/>
  <c r="A62" i="16"/>
  <c r="O62" i="16"/>
  <c r="Q62" i="16"/>
  <c r="A63" i="16"/>
  <c r="O63" i="16"/>
  <c r="Q63" i="16"/>
  <c r="A64" i="16"/>
  <c r="O64" i="16"/>
  <c r="Q64" i="16"/>
  <c r="A65" i="16"/>
  <c r="O65" i="16"/>
  <c r="Q65" i="16"/>
  <c r="A66" i="16"/>
  <c r="A67" i="16"/>
  <c r="A68" i="16"/>
  <c r="A69" i="16"/>
  <c r="O69" i="16"/>
  <c r="U69" i="16" s="1"/>
  <c r="Q69" i="16"/>
  <c r="W69" i="16" s="1"/>
  <c r="E70" i="16"/>
  <c r="X70" i="16"/>
  <c r="A71" i="16"/>
  <c r="O71" i="16"/>
  <c r="Q71" i="16"/>
  <c r="X90" i="16"/>
  <c r="X89" i="16"/>
  <c r="X88" i="16"/>
  <c r="X87" i="16"/>
  <c r="X86" i="16"/>
  <c r="X85" i="16"/>
  <c r="X84" i="16"/>
  <c r="X83" i="16"/>
  <c r="X82" i="16"/>
  <c r="X81" i="16"/>
  <c r="X80" i="16"/>
  <c r="X79" i="16"/>
  <c r="X78" i="16"/>
  <c r="X77" i="16"/>
  <c r="X76" i="16"/>
  <c r="X75" i="16"/>
  <c r="X74" i="16"/>
  <c r="X73" i="16"/>
  <c r="X72" i="16"/>
  <c r="X71" i="16"/>
  <c r="A72" i="16"/>
  <c r="O72" i="16"/>
  <c r="Q72" i="16"/>
  <c r="A73" i="16"/>
  <c r="O73" i="16"/>
  <c r="Q73" i="16"/>
  <c r="A74" i="16"/>
  <c r="O74" i="16"/>
  <c r="Q74" i="16"/>
  <c r="A75" i="16"/>
  <c r="O75" i="16"/>
  <c r="Q75" i="16"/>
  <c r="A76" i="16"/>
  <c r="O76" i="16"/>
  <c r="Q76" i="16"/>
  <c r="A77" i="16"/>
  <c r="O77" i="16"/>
  <c r="Q77" i="16"/>
  <c r="A78" i="16"/>
  <c r="O78" i="16"/>
  <c r="Q78" i="16"/>
  <c r="A79" i="16"/>
  <c r="O79" i="16"/>
  <c r="Q79" i="16"/>
  <c r="A80" i="16"/>
  <c r="O80" i="16"/>
  <c r="Q80" i="16"/>
  <c r="A81" i="16"/>
  <c r="O81" i="16"/>
  <c r="Q81" i="16"/>
  <c r="A82" i="16"/>
  <c r="O82" i="16"/>
  <c r="Q82" i="16"/>
  <c r="A83" i="16"/>
  <c r="O83" i="16"/>
  <c r="Q83" i="16"/>
  <c r="A84" i="16"/>
  <c r="O84" i="16"/>
  <c r="Q84" i="16"/>
  <c r="A85" i="16"/>
  <c r="O85" i="16"/>
  <c r="Q85" i="16"/>
  <c r="A86" i="16"/>
  <c r="O86" i="16"/>
  <c r="Q86" i="16"/>
  <c r="A87" i="16"/>
  <c r="A88" i="16"/>
  <c r="A89" i="16"/>
  <c r="A90" i="16"/>
  <c r="O90" i="16"/>
  <c r="U90" i="16" s="1"/>
  <c r="Q90" i="16"/>
  <c r="W90" i="16" s="1"/>
  <c r="E91" i="16"/>
  <c r="X91" i="16"/>
  <c r="A92" i="16"/>
  <c r="O92" i="16"/>
  <c r="Q92" i="16"/>
  <c r="X111" i="16"/>
  <c r="X110" i="16"/>
  <c r="X109" i="16"/>
  <c r="X108" i="16"/>
  <c r="X107" i="16"/>
  <c r="X106" i="16"/>
  <c r="X105" i="16"/>
  <c r="X104" i="16"/>
  <c r="X103" i="16"/>
  <c r="X102" i="16"/>
  <c r="X101" i="16"/>
  <c r="X100" i="16"/>
  <c r="X99" i="16"/>
  <c r="X98" i="16"/>
  <c r="X97" i="16"/>
  <c r="X96" i="16"/>
  <c r="X95" i="16"/>
  <c r="X94" i="16"/>
  <c r="X93" i="16"/>
  <c r="X92" i="16"/>
  <c r="A93" i="16"/>
  <c r="O93" i="16"/>
  <c r="Q93" i="16"/>
  <c r="A94" i="16"/>
  <c r="O94" i="16"/>
  <c r="Q94" i="16"/>
  <c r="A95" i="16"/>
  <c r="O95" i="16"/>
  <c r="Q95" i="16"/>
  <c r="A96" i="16"/>
  <c r="O96" i="16"/>
  <c r="Q96" i="16"/>
  <c r="A97" i="16"/>
  <c r="O97" i="16"/>
  <c r="Q97" i="16"/>
  <c r="A98" i="16"/>
  <c r="O98" i="16"/>
  <c r="Q98" i="16"/>
  <c r="A99" i="16"/>
  <c r="O99" i="16"/>
  <c r="Q99" i="16"/>
  <c r="A100" i="16"/>
  <c r="O100" i="16"/>
  <c r="Q100" i="16"/>
  <c r="A101" i="16"/>
  <c r="O101" i="16"/>
  <c r="Q101" i="16"/>
  <c r="A102" i="16"/>
  <c r="O102" i="16"/>
  <c r="Q102" i="16"/>
  <c r="A103" i="16"/>
  <c r="O103" i="16"/>
  <c r="Q103" i="16"/>
  <c r="A104" i="16"/>
  <c r="O104" i="16"/>
  <c r="Q104" i="16"/>
  <c r="A105" i="16"/>
  <c r="O105" i="16"/>
  <c r="Q105" i="16"/>
  <c r="A106" i="16"/>
  <c r="O106" i="16"/>
  <c r="Q106" i="16"/>
  <c r="A107" i="16"/>
  <c r="O107" i="16"/>
  <c r="Q107" i="16"/>
  <c r="A108" i="16"/>
  <c r="A109" i="16"/>
  <c r="A110" i="16"/>
  <c r="A111" i="16"/>
  <c r="O111" i="16"/>
  <c r="U111" i="16" s="1"/>
  <c r="Q111" i="16"/>
  <c r="W111" i="16" s="1"/>
  <c r="E112" i="16"/>
  <c r="X112" i="16"/>
  <c r="A113" i="16"/>
  <c r="O113" i="16"/>
  <c r="Q113" i="16"/>
  <c r="X132" i="16"/>
  <c r="X131" i="16"/>
  <c r="X130" i="16"/>
  <c r="X129" i="16"/>
  <c r="X128" i="16"/>
  <c r="X127" i="16"/>
  <c r="X126" i="16"/>
  <c r="X125" i="16"/>
  <c r="X124" i="16"/>
  <c r="X123" i="16"/>
  <c r="X122" i="16"/>
  <c r="X121" i="16"/>
  <c r="X120" i="16"/>
  <c r="X119" i="16"/>
  <c r="X118" i="16"/>
  <c r="X117" i="16"/>
  <c r="X116" i="16"/>
  <c r="X115" i="16"/>
  <c r="X114" i="16"/>
  <c r="X113" i="16"/>
  <c r="A114" i="16"/>
  <c r="O114" i="16"/>
  <c r="Q114" i="16"/>
  <c r="A115" i="16"/>
  <c r="O115" i="16"/>
  <c r="Q115" i="16"/>
  <c r="A116" i="16"/>
  <c r="O116" i="16"/>
  <c r="Q116" i="16"/>
  <c r="A117" i="16"/>
  <c r="O117" i="16"/>
  <c r="Q117" i="16"/>
  <c r="A118" i="16"/>
  <c r="O118" i="16"/>
  <c r="Q118" i="16"/>
  <c r="A119" i="16"/>
  <c r="O119" i="16"/>
  <c r="Q119" i="16"/>
  <c r="A120" i="16"/>
  <c r="O120" i="16"/>
  <c r="Q120" i="16"/>
  <c r="A121" i="16"/>
  <c r="O121" i="16"/>
  <c r="Q121" i="16"/>
  <c r="A122" i="16"/>
  <c r="O122" i="16"/>
  <c r="Q122" i="16"/>
  <c r="A123" i="16"/>
  <c r="O123" i="16"/>
  <c r="Q123" i="16"/>
  <c r="A124" i="16"/>
  <c r="O124" i="16"/>
  <c r="Q124" i="16"/>
  <c r="A125" i="16"/>
  <c r="O125" i="16"/>
  <c r="Q125" i="16"/>
  <c r="A126" i="16"/>
  <c r="O126" i="16"/>
  <c r="Q126" i="16"/>
  <c r="A127" i="16"/>
  <c r="O127" i="16"/>
  <c r="Q127" i="16"/>
  <c r="A128" i="16"/>
  <c r="O128" i="16"/>
  <c r="Q128" i="16"/>
  <c r="A129" i="16"/>
  <c r="A130" i="16"/>
  <c r="A131" i="16"/>
  <c r="A132" i="16"/>
  <c r="O132" i="16"/>
  <c r="U132" i="16" s="1"/>
  <c r="Q132" i="16"/>
  <c r="W132" i="16" s="1"/>
  <c r="E133" i="16"/>
  <c r="X133" i="16"/>
  <c r="A134" i="16"/>
  <c r="O134" i="16"/>
  <c r="Q134" i="16"/>
  <c r="X153" i="16"/>
  <c r="X152" i="16"/>
  <c r="X151" i="16"/>
  <c r="X150" i="16"/>
  <c r="X149" i="16"/>
  <c r="X148" i="16"/>
  <c r="X147" i="16"/>
  <c r="X146" i="16"/>
  <c r="X145" i="16"/>
  <c r="X144" i="16"/>
  <c r="X143" i="16"/>
  <c r="X142" i="16"/>
  <c r="X141" i="16"/>
  <c r="X140" i="16"/>
  <c r="X139" i="16"/>
  <c r="X138" i="16"/>
  <c r="X137" i="16"/>
  <c r="X136" i="16"/>
  <c r="X135" i="16"/>
  <c r="X134" i="16"/>
  <c r="A135" i="16"/>
  <c r="O135" i="16"/>
  <c r="Q135" i="16"/>
  <c r="A136" i="16"/>
  <c r="O136" i="16"/>
  <c r="Q136" i="16"/>
  <c r="A137" i="16"/>
  <c r="O137" i="16"/>
  <c r="Q137" i="16"/>
  <c r="A138" i="16"/>
  <c r="O138" i="16"/>
  <c r="Q138" i="16"/>
  <c r="A139" i="16"/>
  <c r="O139" i="16"/>
  <c r="Q139" i="16"/>
  <c r="A140" i="16"/>
  <c r="O140" i="16"/>
  <c r="Q140" i="16"/>
  <c r="A141" i="16"/>
  <c r="O141" i="16"/>
  <c r="Q141" i="16"/>
  <c r="A142" i="16"/>
  <c r="O142" i="16"/>
  <c r="Q142" i="16"/>
  <c r="A143" i="16"/>
  <c r="O143" i="16"/>
  <c r="Q143" i="16"/>
  <c r="A144" i="16"/>
  <c r="O144" i="16"/>
  <c r="Q144" i="16"/>
  <c r="A145" i="16"/>
  <c r="O145" i="16"/>
  <c r="Q145" i="16"/>
  <c r="A146" i="16"/>
  <c r="O146" i="16"/>
  <c r="Q146" i="16"/>
  <c r="A147" i="16"/>
  <c r="O147" i="16"/>
  <c r="Q147" i="16"/>
  <c r="A148" i="16"/>
  <c r="O148" i="16"/>
  <c r="Q148" i="16"/>
  <c r="A149" i="16"/>
  <c r="O149" i="16"/>
  <c r="Q149" i="16"/>
  <c r="A150" i="16"/>
  <c r="A151" i="16"/>
  <c r="A152" i="16"/>
  <c r="A153" i="16"/>
  <c r="O153" i="16"/>
  <c r="U153" i="16" s="1"/>
  <c r="Q153" i="16"/>
  <c r="W153" i="16" s="1"/>
  <c r="E154" i="16"/>
  <c r="X154" i="16"/>
  <c r="A155" i="16"/>
  <c r="O155" i="16"/>
  <c r="Q155" i="16"/>
  <c r="X174" i="16"/>
  <c r="X173" i="16"/>
  <c r="X172" i="16"/>
  <c r="X171" i="16"/>
  <c r="X170" i="16"/>
  <c r="X169" i="16"/>
  <c r="X168" i="16"/>
  <c r="X167" i="16"/>
  <c r="X166" i="16"/>
  <c r="X165" i="16"/>
  <c r="X164" i="16"/>
  <c r="X163" i="16"/>
  <c r="X162" i="16"/>
  <c r="X161" i="16"/>
  <c r="X160" i="16"/>
  <c r="X159" i="16"/>
  <c r="X158" i="16"/>
  <c r="X157" i="16"/>
  <c r="X156" i="16"/>
  <c r="X155" i="16"/>
  <c r="A156" i="16"/>
  <c r="O156" i="16"/>
  <c r="Q156" i="16"/>
  <c r="A157" i="16"/>
  <c r="O157" i="16"/>
  <c r="Q157" i="16"/>
  <c r="A158" i="16"/>
  <c r="O158" i="16"/>
  <c r="Q158" i="16"/>
  <c r="A159" i="16"/>
  <c r="O159" i="16"/>
  <c r="Q159" i="16"/>
  <c r="A160" i="16"/>
  <c r="O160" i="16"/>
  <c r="Q160" i="16"/>
  <c r="A161" i="16"/>
  <c r="O161" i="16"/>
  <c r="Q161" i="16"/>
  <c r="A162" i="16"/>
  <c r="O162" i="16"/>
  <c r="Q162" i="16"/>
  <c r="A163" i="16"/>
  <c r="O163" i="16"/>
  <c r="Q163" i="16"/>
  <c r="A164" i="16"/>
  <c r="O164" i="16"/>
  <c r="Q164" i="16"/>
  <c r="A165" i="16"/>
  <c r="O165" i="16"/>
  <c r="Q165" i="16"/>
  <c r="A166" i="16"/>
  <c r="O166" i="16"/>
  <c r="Q166" i="16"/>
  <c r="A167" i="16"/>
  <c r="O167" i="16"/>
  <c r="Q167" i="16"/>
  <c r="A168" i="16"/>
  <c r="O168" i="16"/>
  <c r="Q168" i="16"/>
  <c r="A169" i="16"/>
  <c r="O169" i="16"/>
  <c r="Q169" i="16"/>
  <c r="A170" i="16"/>
  <c r="O170" i="16"/>
  <c r="Q170" i="16"/>
  <c r="A171" i="16"/>
  <c r="A172" i="16"/>
  <c r="A173" i="16"/>
  <c r="A174" i="16"/>
  <c r="O174" i="16"/>
  <c r="U174" i="16" s="1"/>
  <c r="Q174" i="16"/>
  <c r="W174" i="16" s="1"/>
  <c r="E175" i="16"/>
  <c r="X175" i="16"/>
  <c r="A176" i="16"/>
  <c r="O176" i="16"/>
  <c r="Q176" i="16"/>
  <c r="X195" i="16"/>
  <c r="X194" i="16"/>
  <c r="X193" i="16"/>
  <c r="X192" i="16"/>
  <c r="X191" i="16"/>
  <c r="X190" i="16"/>
  <c r="X189" i="16"/>
  <c r="X188" i="16"/>
  <c r="X187" i="16"/>
  <c r="X186" i="16"/>
  <c r="X185" i="16"/>
  <c r="X184" i="16"/>
  <c r="X183" i="16"/>
  <c r="X182" i="16"/>
  <c r="X181" i="16"/>
  <c r="X180" i="16"/>
  <c r="X179" i="16"/>
  <c r="X178" i="16"/>
  <c r="X177" i="16"/>
  <c r="X176" i="16"/>
  <c r="A177" i="16"/>
  <c r="O177" i="16"/>
  <c r="Q177" i="16"/>
  <c r="A178" i="16"/>
  <c r="O178" i="16"/>
  <c r="Q178" i="16"/>
  <c r="A179" i="16"/>
  <c r="O179" i="16"/>
  <c r="Q179" i="16"/>
  <c r="A180" i="16"/>
  <c r="O180" i="16"/>
  <c r="Q180" i="16"/>
  <c r="A181" i="16"/>
  <c r="O181" i="16"/>
  <c r="Q181" i="16"/>
  <c r="A182" i="16"/>
  <c r="O182" i="16"/>
  <c r="Q182" i="16"/>
  <c r="A183" i="16"/>
  <c r="O183" i="16"/>
  <c r="Q183" i="16"/>
  <c r="A184" i="16"/>
  <c r="O184" i="16"/>
  <c r="Q184" i="16"/>
  <c r="A185" i="16"/>
  <c r="O185" i="16"/>
  <c r="Q185" i="16"/>
  <c r="A186" i="16"/>
  <c r="O186" i="16"/>
  <c r="Q186" i="16"/>
  <c r="A187" i="16"/>
  <c r="O187" i="16"/>
  <c r="Q187" i="16"/>
  <c r="A188" i="16"/>
  <c r="O188" i="16"/>
  <c r="Q188" i="16"/>
  <c r="A189" i="16"/>
  <c r="O189" i="16"/>
  <c r="Q189" i="16"/>
  <c r="A190" i="16"/>
  <c r="O190" i="16"/>
  <c r="Q190" i="16"/>
  <c r="A191" i="16"/>
  <c r="O191" i="16"/>
  <c r="Q191" i="16"/>
  <c r="A192" i="16"/>
  <c r="A193" i="16"/>
  <c r="A194" i="16"/>
  <c r="A195" i="16"/>
  <c r="O195" i="16"/>
  <c r="U195" i="16" s="1"/>
  <c r="Q195" i="16"/>
  <c r="W195" i="16" s="1"/>
  <c r="E196" i="16"/>
  <c r="X196" i="16"/>
  <c r="A197" i="16"/>
  <c r="O197" i="16"/>
  <c r="Q197" i="16"/>
  <c r="X216" i="16"/>
  <c r="X215" i="16"/>
  <c r="X214" i="16"/>
  <c r="X213" i="16"/>
  <c r="X212" i="16"/>
  <c r="X211" i="16"/>
  <c r="X210" i="16"/>
  <c r="X209" i="16"/>
  <c r="X208" i="16"/>
  <c r="X207" i="16"/>
  <c r="X206" i="16"/>
  <c r="X205" i="16"/>
  <c r="X204" i="16"/>
  <c r="X203" i="16"/>
  <c r="X202" i="16"/>
  <c r="X201" i="16"/>
  <c r="X200" i="16"/>
  <c r="X199" i="16"/>
  <c r="X198" i="16"/>
  <c r="X197" i="16"/>
  <c r="A198" i="16"/>
  <c r="O198" i="16"/>
  <c r="Q198" i="16"/>
  <c r="A199" i="16"/>
  <c r="O199" i="16"/>
  <c r="Q199" i="16"/>
  <c r="A200" i="16"/>
  <c r="O200" i="16"/>
  <c r="Q200" i="16"/>
  <c r="A201" i="16"/>
  <c r="O201" i="16"/>
  <c r="Q201" i="16"/>
  <c r="A202" i="16"/>
  <c r="O202" i="16"/>
  <c r="Q202" i="16"/>
  <c r="A203" i="16"/>
  <c r="O203" i="16"/>
  <c r="Q203" i="16"/>
  <c r="A204" i="16"/>
  <c r="O204" i="16"/>
  <c r="Q204" i="16"/>
  <c r="A205" i="16"/>
  <c r="O205" i="16"/>
  <c r="Q205" i="16"/>
  <c r="A206" i="16"/>
  <c r="O206" i="16"/>
  <c r="Q206" i="16"/>
  <c r="A207" i="16"/>
  <c r="O207" i="16"/>
  <c r="Q207" i="16"/>
  <c r="A208" i="16"/>
  <c r="O208" i="16"/>
  <c r="Q208" i="16"/>
  <c r="A209" i="16"/>
  <c r="O209" i="16"/>
  <c r="Q209" i="16"/>
  <c r="A210" i="16"/>
  <c r="O210" i="16"/>
  <c r="Q210" i="16"/>
  <c r="A211" i="16"/>
  <c r="O211" i="16"/>
  <c r="Q211" i="16"/>
  <c r="A212" i="16"/>
  <c r="O212" i="16"/>
  <c r="Q212" i="16"/>
  <c r="A213" i="16"/>
  <c r="A214" i="16"/>
  <c r="A215" i="16"/>
  <c r="A216" i="16"/>
  <c r="O216" i="16"/>
  <c r="U216" i="16" s="1"/>
  <c r="Q216" i="16"/>
  <c r="W216" i="16" s="1"/>
  <c r="E217" i="16"/>
  <c r="X217" i="16"/>
  <c r="A218" i="16"/>
  <c r="O218" i="16"/>
  <c r="Q218" i="16"/>
  <c r="X237" i="16"/>
  <c r="X236" i="16"/>
  <c r="X235" i="16"/>
  <c r="X234" i="16"/>
  <c r="X233" i="16"/>
  <c r="X232" i="16"/>
  <c r="X231" i="16"/>
  <c r="X230" i="16"/>
  <c r="X229" i="16"/>
  <c r="X228" i="16"/>
  <c r="X227" i="16"/>
  <c r="X226" i="16"/>
  <c r="X225" i="16"/>
  <c r="X224" i="16"/>
  <c r="X223" i="16"/>
  <c r="X222" i="16"/>
  <c r="X221" i="16"/>
  <c r="X220" i="16"/>
  <c r="X219" i="16"/>
  <c r="X218" i="16"/>
  <c r="A219" i="16"/>
  <c r="O219" i="16"/>
  <c r="Q219" i="16"/>
  <c r="A220" i="16"/>
  <c r="O220" i="16"/>
  <c r="Q220" i="16"/>
  <c r="A221" i="16"/>
  <c r="O221" i="16"/>
  <c r="Q221" i="16"/>
  <c r="A222" i="16"/>
  <c r="O222" i="16"/>
  <c r="Q222" i="16"/>
  <c r="A223" i="16"/>
  <c r="O223" i="16"/>
  <c r="Q223" i="16"/>
  <c r="A224" i="16"/>
  <c r="O224" i="16"/>
  <c r="Q224" i="16"/>
  <c r="A225" i="16"/>
  <c r="O225" i="16"/>
  <c r="Q225" i="16"/>
  <c r="A226" i="16"/>
  <c r="O226" i="16"/>
  <c r="Q226" i="16"/>
  <c r="A227" i="16"/>
  <c r="O227" i="16"/>
  <c r="Q227" i="16"/>
  <c r="A228" i="16"/>
  <c r="O228" i="16"/>
  <c r="Q228" i="16"/>
  <c r="A229" i="16"/>
  <c r="O229" i="16"/>
  <c r="Q229" i="16"/>
  <c r="A230" i="16"/>
  <c r="O230" i="16"/>
  <c r="Q230" i="16"/>
  <c r="A231" i="16"/>
  <c r="O231" i="16"/>
  <c r="Q231" i="16"/>
  <c r="A232" i="16"/>
  <c r="O232" i="16"/>
  <c r="Q232" i="16"/>
  <c r="A233" i="16"/>
  <c r="O233" i="16"/>
  <c r="Q233" i="16"/>
  <c r="A234" i="16"/>
  <c r="A235" i="16"/>
  <c r="A236" i="16"/>
  <c r="A237" i="16"/>
  <c r="O237" i="16"/>
  <c r="U237" i="16" s="1"/>
  <c r="Q237" i="16"/>
  <c r="W237" i="16" s="1"/>
  <c r="E238" i="16"/>
  <c r="X238" i="16"/>
  <c r="A239" i="16"/>
  <c r="O239" i="16"/>
  <c r="Q239" i="16"/>
  <c r="X258" i="16"/>
  <c r="X257" i="16"/>
  <c r="X256" i="16"/>
  <c r="X255" i="16"/>
  <c r="X254" i="16"/>
  <c r="X253" i="16"/>
  <c r="X252" i="16"/>
  <c r="X251" i="16"/>
  <c r="X250" i="16"/>
  <c r="X249" i="16"/>
  <c r="X248" i="16"/>
  <c r="X247" i="16"/>
  <c r="X246" i="16"/>
  <c r="X245" i="16"/>
  <c r="X244" i="16"/>
  <c r="X243" i="16"/>
  <c r="X242" i="16"/>
  <c r="X241" i="16"/>
  <c r="X240" i="16"/>
  <c r="X239" i="16"/>
  <c r="A240" i="16"/>
  <c r="O240" i="16"/>
  <c r="Q240" i="16"/>
  <c r="A241" i="16"/>
  <c r="O241" i="16"/>
  <c r="Q241" i="16"/>
  <c r="A242" i="16"/>
  <c r="O242" i="16"/>
  <c r="Q242" i="16"/>
  <c r="A243" i="16"/>
  <c r="O243" i="16"/>
  <c r="Q243" i="16"/>
  <c r="A244" i="16"/>
  <c r="O244" i="16"/>
  <c r="Q244" i="16"/>
  <c r="A245" i="16"/>
  <c r="O245" i="16"/>
  <c r="Q245" i="16"/>
  <c r="A246" i="16"/>
  <c r="O246" i="16"/>
  <c r="Q246" i="16"/>
  <c r="A247" i="16"/>
  <c r="O247" i="16"/>
  <c r="Q247" i="16"/>
  <c r="A248" i="16"/>
  <c r="O248" i="16"/>
  <c r="Q248" i="16"/>
  <c r="A249" i="16"/>
  <c r="O249" i="16"/>
  <c r="Q249" i="16"/>
  <c r="A250" i="16"/>
  <c r="O250" i="16"/>
  <c r="Q250" i="16"/>
  <c r="A251" i="16"/>
  <c r="O251" i="16"/>
  <c r="Q251" i="16"/>
  <c r="A252" i="16"/>
  <c r="O252" i="16"/>
  <c r="Q252" i="16"/>
  <c r="A253" i="16"/>
  <c r="O253" i="16"/>
  <c r="Q253" i="16"/>
  <c r="A254" i="16"/>
  <c r="O254" i="16"/>
  <c r="Q254" i="16"/>
  <c r="A255" i="16"/>
  <c r="A256" i="16"/>
  <c r="A257" i="16"/>
  <c r="A258" i="16"/>
  <c r="O258" i="16"/>
  <c r="U258" i="16" s="1"/>
  <c r="Q258" i="16"/>
  <c r="W258" i="16" s="1"/>
  <c r="E259" i="16"/>
  <c r="X259" i="16"/>
  <c r="A260" i="16"/>
  <c r="O260" i="16"/>
  <c r="Q260" i="16"/>
  <c r="X279" i="16"/>
  <c r="X278" i="16"/>
  <c r="X277" i="16"/>
  <c r="X276" i="16"/>
  <c r="X275" i="16"/>
  <c r="X274" i="16"/>
  <c r="X273" i="16"/>
  <c r="X272" i="16"/>
  <c r="X271" i="16"/>
  <c r="X270" i="16"/>
  <c r="X269" i="16"/>
  <c r="X268" i="16"/>
  <c r="X267" i="16"/>
  <c r="X266" i="16"/>
  <c r="X265" i="16"/>
  <c r="X264" i="16"/>
  <c r="X263" i="16"/>
  <c r="X262" i="16"/>
  <c r="X261" i="16"/>
  <c r="X260" i="16"/>
  <c r="A261" i="16"/>
  <c r="O261" i="16"/>
  <c r="Q261" i="16"/>
  <c r="A262" i="16"/>
  <c r="O262" i="16"/>
  <c r="Q262" i="16"/>
  <c r="A263" i="16"/>
  <c r="O263" i="16"/>
  <c r="Q263" i="16"/>
  <c r="A264" i="16"/>
  <c r="O264" i="16"/>
  <c r="Q264" i="16"/>
  <c r="A265" i="16"/>
  <c r="O265" i="16"/>
  <c r="Q265" i="16"/>
  <c r="A266" i="16"/>
  <c r="O266" i="16"/>
  <c r="Q266" i="16"/>
  <c r="A267" i="16"/>
  <c r="O267" i="16"/>
  <c r="Q267" i="16"/>
  <c r="A268" i="16"/>
  <c r="O268" i="16"/>
  <c r="Q268" i="16"/>
  <c r="A269" i="16"/>
  <c r="O269" i="16"/>
  <c r="Q269" i="16"/>
  <c r="A270" i="16"/>
  <c r="O270" i="16"/>
  <c r="Q270" i="16"/>
  <c r="A271" i="16"/>
  <c r="O271" i="16"/>
  <c r="Q271" i="16"/>
  <c r="A272" i="16"/>
  <c r="O272" i="16"/>
  <c r="Q272" i="16"/>
  <c r="A273" i="16"/>
  <c r="O273" i="16"/>
  <c r="Q273" i="16"/>
  <c r="A274" i="16"/>
  <c r="O274" i="16"/>
  <c r="Q274" i="16"/>
  <c r="A275" i="16"/>
  <c r="O275" i="16"/>
  <c r="Q275" i="16"/>
  <c r="A276" i="16"/>
  <c r="A277" i="16"/>
  <c r="A278" i="16"/>
  <c r="A279" i="16"/>
  <c r="O279" i="16"/>
  <c r="U279" i="16" s="1"/>
  <c r="Q279" i="16"/>
  <c r="W279" i="16" s="1"/>
  <c r="E280" i="16"/>
  <c r="X280" i="16"/>
  <c r="A281" i="16"/>
  <c r="O281" i="16"/>
  <c r="Q281" i="16"/>
  <c r="X300" i="16"/>
  <c r="X299" i="16"/>
  <c r="X298" i="16"/>
  <c r="X297" i="16"/>
  <c r="X296" i="16"/>
  <c r="X295" i="16"/>
  <c r="X294" i="16"/>
  <c r="X293" i="16"/>
  <c r="X292" i="16"/>
  <c r="X291" i="16"/>
  <c r="X290" i="16"/>
  <c r="X289" i="16"/>
  <c r="X288" i="16"/>
  <c r="X287" i="16"/>
  <c r="X286" i="16"/>
  <c r="X285" i="16"/>
  <c r="X284" i="16"/>
  <c r="X283" i="16"/>
  <c r="X282" i="16"/>
  <c r="X281" i="16"/>
  <c r="A282" i="16"/>
  <c r="O282" i="16"/>
  <c r="Q282" i="16"/>
  <c r="A283" i="16"/>
  <c r="O283" i="16"/>
  <c r="Q283" i="16"/>
  <c r="A284" i="16"/>
  <c r="O284" i="16"/>
  <c r="Q284" i="16"/>
  <c r="A285" i="16"/>
  <c r="O285" i="16"/>
  <c r="Q285" i="16"/>
  <c r="A286" i="16"/>
  <c r="O286" i="16"/>
  <c r="Q286" i="16"/>
  <c r="A287" i="16"/>
  <c r="O287" i="16"/>
  <c r="Q287" i="16"/>
  <c r="A288" i="16"/>
  <c r="O288" i="16"/>
  <c r="Q288" i="16"/>
  <c r="A289" i="16"/>
  <c r="O289" i="16"/>
  <c r="Q289" i="16"/>
  <c r="A290" i="16"/>
  <c r="O290" i="16"/>
  <c r="Q290" i="16"/>
  <c r="A291" i="16"/>
  <c r="O291" i="16"/>
  <c r="Q291" i="16"/>
  <c r="A292" i="16"/>
  <c r="O292" i="16"/>
  <c r="Q292" i="16"/>
  <c r="A293" i="16"/>
  <c r="O293" i="16"/>
  <c r="Q293" i="16"/>
  <c r="A294" i="16"/>
  <c r="O294" i="16"/>
  <c r="Q294" i="16"/>
  <c r="A295" i="16"/>
  <c r="O295" i="16"/>
  <c r="Q295" i="16"/>
  <c r="A296" i="16"/>
  <c r="O296" i="16"/>
  <c r="Q296" i="16"/>
  <c r="A297" i="16"/>
  <c r="A298" i="16"/>
  <c r="A299" i="16"/>
  <c r="A300" i="16"/>
  <c r="O300" i="16"/>
  <c r="U300" i="16" s="1"/>
  <c r="Q300" i="16"/>
  <c r="W300" i="16" s="1"/>
  <c r="E301" i="16"/>
  <c r="X301" i="16"/>
  <c r="A302" i="16"/>
  <c r="O302" i="16"/>
  <c r="Q302" i="16"/>
  <c r="X321" i="16"/>
  <c r="X320" i="16"/>
  <c r="X319" i="16"/>
  <c r="X318" i="16"/>
  <c r="X317" i="16"/>
  <c r="X316" i="16"/>
  <c r="X315" i="16"/>
  <c r="X314" i="16"/>
  <c r="X313" i="16"/>
  <c r="X312" i="16"/>
  <c r="X311" i="16"/>
  <c r="X310" i="16"/>
  <c r="X309" i="16"/>
  <c r="X308" i="16"/>
  <c r="X307" i="16"/>
  <c r="X306" i="16"/>
  <c r="X305" i="16"/>
  <c r="X304" i="16"/>
  <c r="X303" i="16"/>
  <c r="X302" i="16"/>
  <c r="A303" i="16"/>
  <c r="O303" i="16"/>
  <c r="Q303" i="16"/>
  <c r="A304" i="16"/>
  <c r="O304" i="16"/>
  <c r="Q304" i="16"/>
  <c r="A305" i="16"/>
  <c r="O305" i="16"/>
  <c r="Q305" i="16"/>
  <c r="A306" i="16"/>
  <c r="O306" i="16"/>
  <c r="Q306" i="16"/>
  <c r="A307" i="16"/>
  <c r="O307" i="16"/>
  <c r="Q307" i="16"/>
  <c r="A308" i="16"/>
  <c r="O308" i="16"/>
  <c r="Q308" i="16"/>
  <c r="A309" i="16"/>
  <c r="O309" i="16"/>
  <c r="Q309" i="16"/>
  <c r="A310" i="16"/>
  <c r="O310" i="16"/>
  <c r="Q310" i="16"/>
  <c r="A311" i="16"/>
  <c r="O311" i="16"/>
  <c r="Q311" i="16"/>
  <c r="A312" i="16"/>
  <c r="O312" i="16"/>
  <c r="Q312" i="16"/>
  <c r="A313" i="16"/>
  <c r="O313" i="16"/>
  <c r="Q313" i="16"/>
  <c r="A314" i="16"/>
  <c r="O314" i="16"/>
  <c r="Q314" i="16"/>
  <c r="A315" i="16"/>
  <c r="O315" i="16"/>
  <c r="Q315" i="16"/>
  <c r="A316" i="16"/>
  <c r="O316" i="16"/>
  <c r="Q316" i="16"/>
  <c r="A317" i="16"/>
  <c r="O317" i="16"/>
  <c r="Q317" i="16"/>
  <c r="A318" i="16"/>
  <c r="A319" i="16"/>
  <c r="A320" i="16"/>
  <c r="A321" i="16"/>
  <c r="O321" i="16"/>
  <c r="U321" i="16" s="1"/>
  <c r="Q321" i="16"/>
  <c r="W321" i="16" s="1"/>
  <c r="E322" i="16"/>
  <c r="X322" i="16"/>
  <c r="A323" i="16"/>
  <c r="O323" i="16"/>
  <c r="Q323" i="16"/>
  <c r="X342" i="16"/>
  <c r="X341" i="16"/>
  <c r="X340" i="16"/>
  <c r="X339" i="16"/>
  <c r="X338" i="16"/>
  <c r="X337" i="16"/>
  <c r="X336" i="16"/>
  <c r="X335" i="16"/>
  <c r="X334" i="16"/>
  <c r="X333" i="16"/>
  <c r="X332" i="16"/>
  <c r="X331" i="16"/>
  <c r="X330" i="16"/>
  <c r="X329" i="16"/>
  <c r="X328" i="16"/>
  <c r="X327" i="16"/>
  <c r="X326" i="16"/>
  <c r="X325" i="16"/>
  <c r="X324" i="16"/>
  <c r="X323" i="16"/>
  <c r="A324" i="16"/>
  <c r="O324" i="16"/>
  <c r="Q324" i="16"/>
  <c r="A325" i="16"/>
  <c r="O325" i="16"/>
  <c r="Q325" i="16"/>
  <c r="A326" i="16"/>
  <c r="O326" i="16"/>
  <c r="Q326" i="16"/>
  <c r="A327" i="16"/>
  <c r="O327" i="16"/>
  <c r="Q327" i="16"/>
  <c r="A328" i="16"/>
  <c r="O328" i="16"/>
  <c r="Q328" i="16"/>
  <c r="A329" i="16"/>
  <c r="O329" i="16"/>
  <c r="Q329" i="16"/>
  <c r="A330" i="16"/>
  <c r="O330" i="16"/>
  <c r="Q330" i="16"/>
  <c r="A331" i="16"/>
  <c r="O331" i="16"/>
  <c r="Q331" i="16"/>
  <c r="A332" i="16"/>
  <c r="O332" i="16"/>
  <c r="Q332" i="16"/>
  <c r="A333" i="16"/>
  <c r="O333" i="16"/>
  <c r="Q333" i="16"/>
  <c r="A334" i="16"/>
  <c r="O334" i="16"/>
  <c r="Q334" i="16"/>
  <c r="A335" i="16"/>
  <c r="O335" i="16"/>
  <c r="Q335" i="16"/>
  <c r="A336" i="16"/>
  <c r="O336" i="16"/>
  <c r="Q336" i="16"/>
  <c r="A337" i="16"/>
  <c r="O337" i="16"/>
  <c r="Q337" i="16"/>
  <c r="A338" i="16"/>
  <c r="O338" i="16"/>
  <c r="Q338" i="16"/>
  <c r="A339" i="16"/>
  <c r="A340" i="16"/>
  <c r="A341" i="16"/>
  <c r="A342" i="16"/>
  <c r="O342" i="16"/>
  <c r="U342" i="16" s="1"/>
  <c r="Q342" i="16"/>
  <c r="W342" i="16" s="1"/>
  <c r="E343" i="16"/>
  <c r="X343" i="16"/>
  <c r="A344" i="16"/>
  <c r="O344" i="16"/>
  <c r="Q344" i="16"/>
  <c r="X363" i="16"/>
  <c r="X362" i="16"/>
  <c r="X361" i="16"/>
  <c r="X360" i="16"/>
  <c r="X359" i="16"/>
  <c r="X358" i="16"/>
  <c r="X357" i="16"/>
  <c r="X356" i="16"/>
  <c r="X355" i="16"/>
  <c r="X354" i="16"/>
  <c r="X353" i="16"/>
  <c r="X352" i="16"/>
  <c r="X351" i="16"/>
  <c r="X350" i="16"/>
  <c r="X349" i="16"/>
  <c r="X348" i="16"/>
  <c r="X347" i="16"/>
  <c r="X346" i="16"/>
  <c r="X345" i="16"/>
  <c r="X344" i="16"/>
  <c r="A345" i="16"/>
  <c r="O345" i="16"/>
  <c r="Q345" i="16"/>
  <c r="A346" i="16"/>
  <c r="O346" i="16"/>
  <c r="Q346" i="16"/>
  <c r="A347" i="16"/>
  <c r="O347" i="16"/>
  <c r="Q347" i="16"/>
  <c r="A348" i="16"/>
  <c r="O348" i="16"/>
  <c r="Q348" i="16"/>
  <c r="A349" i="16"/>
  <c r="O349" i="16"/>
  <c r="Q349" i="16"/>
  <c r="A350" i="16"/>
  <c r="O350" i="16"/>
  <c r="Q350" i="16"/>
  <c r="A351" i="16"/>
  <c r="O351" i="16"/>
  <c r="Q351" i="16"/>
  <c r="A352" i="16"/>
  <c r="O352" i="16"/>
  <c r="Q352" i="16"/>
  <c r="A353" i="16"/>
  <c r="O353" i="16"/>
  <c r="Q353" i="16"/>
  <c r="A354" i="16"/>
  <c r="O354" i="16"/>
  <c r="Q354" i="16"/>
  <c r="A355" i="16"/>
  <c r="O355" i="16"/>
  <c r="Q355" i="16"/>
  <c r="A356" i="16"/>
  <c r="O356" i="16"/>
  <c r="Q356" i="16"/>
  <c r="A357" i="16"/>
  <c r="O357" i="16"/>
  <c r="Q357" i="16"/>
  <c r="A358" i="16"/>
  <c r="O358" i="16"/>
  <c r="Q358" i="16"/>
  <c r="A359" i="16"/>
  <c r="O359" i="16"/>
  <c r="Q359" i="16"/>
  <c r="A360" i="16"/>
  <c r="A361" i="16"/>
  <c r="A362" i="16"/>
  <c r="A363" i="16"/>
  <c r="O363" i="16"/>
  <c r="U363" i="16" s="1"/>
  <c r="Q363" i="16"/>
  <c r="W363" i="16" s="1"/>
  <c r="E364" i="16"/>
  <c r="X364" i="16"/>
  <c r="A365" i="16"/>
  <c r="O365" i="16"/>
  <c r="Q365" i="16"/>
  <c r="X384" i="16"/>
  <c r="X383" i="16"/>
  <c r="X382" i="16"/>
  <c r="X381" i="16"/>
  <c r="X380" i="16"/>
  <c r="X379" i="16"/>
  <c r="X378" i="16"/>
  <c r="X377" i="16"/>
  <c r="X376" i="16"/>
  <c r="X375" i="16"/>
  <c r="X374" i="16"/>
  <c r="X373" i="16"/>
  <c r="X372" i="16"/>
  <c r="X371" i="16"/>
  <c r="X370" i="16"/>
  <c r="X369" i="16"/>
  <c r="X368" i="16"/>
  <c r="X367" i="16"/>
  <c r="X366" i="16"/>
  <c r="X365" i="16"/>
  <c r="A366" i="16"/>
  <c r="O366" i="16"/>
  <c r="Q366" i="16"/>
  <c r="A367" i="16"/>
  <c r="O367" i="16"/>
  <c r="Q367" i="16"/>
  <c r="A368" i="16"/>
  <c r="O368" i="16"/>
  <c r="Q368" i="16"/>
  <c r="A369" i="16"/>
  <c r="O369" i="16"/>
  <c r="Q369" i="16"/>
  <c r="A370" i="16"/>
  <c r="O370" i="16"/>
  <c r="Q370" i="16"/>
  <c r="A371" i="16"/>
  <c r="O371" i="16"/>
  <c r="Q371" i="16"/>
  <c r="A372" i="16"/>
  <c r="O372" i="16"/>
  <c r="Q372" i="16"/>
  <c r="A373" i="16"/>
  <c r="O373" i="16"/>
  <c r="Q373" i="16"/>
  <c r="A374" i="16"/>
  <c r="O374" i="16"/>
  <c r="Q374" i="16"/>
  <c r="A375" i="16"/>
  <c r="O375" i="16"/>
  <c r="Q375" i="16"/>
  <c r="A376" i="16"/>
  <c r="O376" i="16"/>
  <c r="Q376" i="16"/>
  <c r="A377" i="16"/>
  <c r="O377" i="16"/>
  <c r="Q377" i="16"/>
  <c r="A378" i="16"/>
  <c r="O378" i="16"/>
  <c r="Q378" i="16"/>
  <c r="A379" i="16"/>
  <c r="O379" i="16"/>
  <c r="Q379" i="16"/>
  <c r="A380" i="16"/>
  <c r="O380" i="16"/>
  <c r="Q380" i="16"/>
  <c r="A381" i="16"/>
  <c r="A382" i="16"/>
  <c r="A383" i="16"/>
  <c r="A384" i="16"/>
  <c r="O384" i="16"/>
  <c r="U384" i="16" s="1"/>
  <c r="Q384" i="16"/>
  <c r="W384" i="16" s="1"/>
  <c r="E385" i="16"/>
  <c r="X385" i="16"/>
  <c r="A386" i="16"/>
  <c r="O386" i="16"/>
  <c r="Q386" i="16"/>
  <c r="X405" i="16"/>
  <c r="X404" i="16"/>
  <c r="X403" i="16"/>
  <c r="X402" i="16"/>
  <c r="X401" i="16"/>
  <c r="X400" i="16"/>
  <c r="X399" i="16"/>
  <c r="X398" i="16"/>
  <c r="X397" i="16"/>
  <c r="X396" i="16"/>
  <c r="X395" i="16"/>
  <c r="X394" i="16"/>
  <c r="X393" i="16"/>
  <c r="X392" i="16"/>
  <c r="X391" i="16"/>
  <c r="X390" i="16"/>
  <c r="X389" i="16"/>
  <c r="X388" i="16"/>
  <c r="X387" i="16"/>
  <c r="X386" i="16"/>
  <c r="A387" i="16"/>
  <c r="O387" i="16"/>
  <c r="Q387" i="16"/>
  <c r="A388" i="16"/>
  <c r="O388" i="16"/>
  <c r="Q388" i="16"/>
  <c r="A389" i="16"/>
  <c r="O389" i="16"/>
  <c r="Q389" i="16"/>
  <c r="A390" i="16"/>
  <c r="O390" i="16"/>
  <c r="Q390" i="16"/>
  <c r="A391" i="16"/>
  <c r="O391" i="16"/>
  <c r="Q391" i="16"/>
  <c r="A392" i="16"/>
  <c r="O392" i="16"/>
  <c r="Q392" i="16"/>
  <c r="A393" i="16"/>
  <c r="O393" i="16"/>
  <c r="Q393" i="16"/>
  <c r="A394" i="16"/>
  <c r="O394" i="16"/>
  <c r="Q394" i="16"/>
  <c r="A395" i="16"/>
  <c r="O395" i="16"/>
  <c r="Q395" i="16"/>
  <c r="A396" i="16"/>
  <c r="O396" i="16"/>
  <c r="Q396" i="16"/>
  <c r="A397" i="16"/>
  <c r="O397" i="16"/>
  <c r="Q397" i="16"/>
  <c r="A398" i="16"/>
  <c r="O398" i="16"/>
  <c r="Q398" i="16"/>
  <c r="A399" i="16"/>
  <c r="O399" i="16"/>
  <c r="Q399" i="16"/>
  <c r="A400" i="16"/>
  <c r="O400" i="16"/>
  <c r="Q400" i="16"/>
  <c r="A401" i="16"/>
  <c r="O401" i="16"/>
  <c r="Q401" i="16"/>
  <c r="A402" i="16"/>
  <c r="A403" i="16"/>
  <c r="A404" i="16"/>
  <c r="A405" i="16"/>
  <c r="O405" i="16"/>
  <c r="U405" i="16" s="1"/>
  <c r="Q405" i="16"/>
  <c r="W405" i="16" s="1"/>
  <c r="E406" i="16"/>
  <c r="X406" i="16"/>
  <c r="A407" i="16"/>
  <c r="O407" i="16"/>
  <c r="Q407" i="16"/>
  <c r="X426" i="16"/>
  <c r="X425" i="16"/>
  <c r="X424" i="16"/>
  <c r="X423" i="16"/>
  <c r="X422" i="16"/>
  <c r="X421" i="16"/>
  <c r="X420" i="16"/>
  <c r="X419" i="16"/>
  <c r="X418" i="16"/>
  <c r="X417" i="16"/>
  <c r="X416" i="16"/>
  <c r="X415" i="16"/>
  <c r="X414" i="16"/>
  <c r="X413" i="16"/>
  <c r="X412" i="16"/>
  <c r="X411" i="16"/>
  <c r="X410" i="16"/>
  <c r="X409" i="16"/>
  <c r="X408" i="16"/>
  <c r="X407" i="16"/>
  <c r="A408" i="16"/>
  <c r="O408" i="16"/>
  <c r="Q408" i="16"/>
  <c r="A409" i="16"/>
  <c r="O409" i="16"/>
  <c r="Q409" i="16"/>
  <c r="A410" i="16"/>
  <c r="O410" i="16"/>
  <c r="Q410" i="16"/>
  <c r="A411" i="16"/>
  <c r="O411" i="16"/>
  <c r="Q411" i="16"/>
  <c r="A412" i="16"/>
  <c r="O412" i="16"/>
  <c r="Q412" i="16"/>
  <c r="A413" i="16"/>
  <c r="O413" i="16"/>
  <c r="Q413" i="16"/>
  <c r="A414" i="16"/>
  <c r="O414" i="16"/>
  <c r="Q414" i="16"/>
  <c r="A415" i="16"/>
  <c r="O415" i="16"/>
  <c r="Q415" i="16"/>
  <c r="A416" i="16"/>
  <c r="O416" i="16"/>
  <c r="Q416" i="16"/>
  <c r="A417" i="16"/>
  <c r="O417" i="16"/>
  <c r="Q417" i="16"/>
  <c r="A418" i="16"/>
  <c r="O418" i="16"/>
  <c r="Q418" i="16"/>
  <c r="A419" i="16"/>
  <c r="O419" i="16"/>
  <c r="Q419" i="16"/>
  <c r="A420" i="16"/>
  <c r="O420" i="16"/>
  <c r="Q420" i="16"/>
  <c r="A421" i="16"/>
  <c r="O421" i="16"/>
  <c r="Q421" i="16"/>
  <c r="A422" i="16"/>
  <c r="O422" i="16"/>
  <c r="Q422" i="16"/>
  <c r="A423" i="16"/>
  <c r="A424" i="16"/>
  <c r="A425" i="16"/>
  <c r="A426" i="16"/>
  <c r="O426" i="16"/>
  <c r="U426" i="16" s="1"/>
  <c r="Q426" i="16"/>
  <c r="W426" i="16" s="1"/>
  <c r="E427" i="16"/>
  <c r="X427" i="16"/>
  <c r="A8" i="15"/>
  <c r="O8" i="15"/>
  <c r="Q8" i="15"/>
  <c r="X27" i="15"/>
  <c r="X26" i="15"/>
  <c r="X25" i="15"/>
  <c r="X24" i="15"/>
  <c r="X23" i="15"/>
  <c r="X22" i="15"/>
  <c r="X21" i="15"/>
  <c r="X20" i="15"/>
  <c r="X19" i="15"/>
  <c r="X18" i="15"/>
  <c r="X17" i="15"/>
  <c r="X16" i="15"/>
  <c r="X15" i="15"/>
  <c r="X14" i="15"/>
  <c r="X13" i="15"/>
  <c r="X12" i="15"/>
  <c r="X11" i="15"/>
  <c r="X10" i="15"/>
  <c r="X9" i="15"/>
  <c r="X8" i="15"/>
  <c r="A9" i="15"/>
  <c r="O9" i="15"/>
  <c r="Q9" i="15"/>
  <c r="A10" i="15"/>
  <c r="O10" i="15"/>
  <c r="Q10" i="15"/>
  <c r="A11" i="15"/>
  <c r="O11" i="15"/>
  <c r="Q11" i="15"/>
  <c r="A12" i="15"/>
  <c r="O12" i="15"/>
  <c r="Q12" i="15"/>
  <c r="A13" i="15"/>
  <c r="O13" i="15"/>
  <c r="Q13" i="15"/>
  <c r="A14" i="15"/>
  <c r="O14" i="15"/>
  <c r="Q14" i="15"/>
  <c r="A15" i="15"/>
  <c r="O15" i="15"/>
  <c r="Q15" i="15"/>
  <c r="A16" i="15"/>
  <c r="O16" i="15"/>
  <c r="Q16" i="15"/>
  <c r="A17" i="15"/>
  <c r="O17" i="15"/>
  <c r="Q17" i="15"/>
  <c r="A18" i="15"/>
  <c r="O18" i="15"/>
  <c r="Q18" i="15"/>
  <c r="A19" i="15"/>
  <c r="O19" i="15"/>
  <c r="Q19" i="15"/>
  <c r="A20" i="15"/>
  <c r="O20" i="15"/>
  <c r="Q20" i="15"/>
  <c r="A21" i="15"/>
  <c r="O21" i="15"/>
  <c r="Q21" i="15"/>
  <c r="A22" i="15"/>
  <c r="O22" i="15"/>
  <c r="Q22" i="15"/>
  <c r="A23" i="15"/>
  <c r="O23" i="15"/>
  <c r="Q23" i="15"/>
  <c r="A24" i="15"/>
  <c r="A25" i="15"/>
  <c r="A26" i="15"/>
  <c r="A27" i="15"/>
  <c r="O27" i="15"/>
  <c r="U27" i="15" s="1"/>
  <c r="Q27" i="15"/>
  <c r="W27" i="15" s="1"/>
  <c r="E28" i="15"/>
  <c r="X28" i="15"/>
  <c r="A29" i="15"/>
  <c r="O29" i="15"/>
  <c r="Q29" i="15"/>
  <c r="X48" i="15"/>
  <c r="X47" i="15"/>
  <c r="X46" i="15"/>
  <c r="X45" i="15"/>
  <c r="X44" i="15"/>
  <c r="X43" i="15"/>
  <c r="X42" i="15"/>
  <c r="X41" i="15"/>
  <c r="X40" i="15"/>
  <c r="X39" i="15"/>
  <c r="X38" i="15"/>
  <c r="X37" i="15"/>
  <c r="X36" i="15"/>
  <c r="X35" i="15"/>
  <c r="X34" i="15"/>
  <c r="X33" i="15"/>
  <c r="X32" i="15"/>
  <c r="X31" i="15"/>
  <c r="X30" i="15"/>
  <c r="X29" i="15"/>
  <c r="A30" i="15"/>
  <c r="O30" i="15"/>
  <c r="Q30" i="15"/>
  <c r="A31" i="15"/>
  <c r="O31" i="15"/>
  <c r="Q31" i="15"/>
  <c r="A32" i="15"/>
  <c r="O32" i="15"/>
  <c r="Q32" i="15"/>
  <c r="A33" i="15"/>
  <c r="O33" i="15"/>
  <c r="Q33" i="15"/>
  <c r="A34" i="15"/>
  <c r="O34" i="15"/>
  <c r="Q34" i="15"/>
  <c r="A35" i="15"/>
  <c r="O35" i="15"/>
  <c r="Q35" i="15"/>
  <c r="A36" i="15"/>
  <c r="O36" i="15"/>
  <c r="Q36" i="15"/>
  <c r="A37" i="15"/>
  <c r="O37" i="15"/>
  <c r="Q37" i="15"/>
  <c r="A38" i="15"/>
  <c r="O38" i="15"/>
  <c r="Q38" i="15"/>
  <c r="A39" i="15"/>
  <c r="O39" i="15"/>
  <c r="Q39" i="15"/>
  <c r="A40" i="15"/>
  <c r="O40" i="15"/>
  <c r="Q40" i="15"/>
  <c r="A41" i="15"/>
  <c r="O41" i="15"/>
  <c r="Q41" i="15"/>
  <c r="A42" i="15"/>
  <c r="O42" i="15"/>
  <c r="Q42" i="15"/>
  <c r="A43" i="15"/>
  <c r="O43" i="15"/>
  <c r="Q43" i="15"/>
  <c r="A44" i="15"/>
  <c r="O44" i="15"/>
  <c r="Q44" i="15"/>
  <c r="A45" i="15"/>
  <c r="A46" i="15"/>
  <c r="A47" i="15"/>
  <c r="A48" i="15"/>
  <c r="O48" i="15"/>
  <c r="U48" i="15" s="1"/>
  <c r="Q48" i="15"/>
  <c r="W48" i="15" s="1"/>
  <c r="E49" i="15"/>
  <c r="X49" i="15"/>
  <c r="A50" i="15"/>
  <c r="O50" i="15"/>
  <c r="Q50" i="15"/>
  <c r="X69" i="15"/>
  <c r="X68" i="15"/>
  <c r="X67" i="15"/>
  <c r="X66" i="15"/>
  <c r="X65" i="15"/>
  <c r="X64" i="15"/>
  <c r="X63" i="15"/>
  <c r="X62" i="15"/>
  <c r="X61" i="15"/>
  <c r="X60" i="15"/>
  <c r="X59" i="15"/>
  <c r="X58" i="15"/>
  <c r="X57" i="15"/>
  <c r="X56" i="15"/>
  <c r="X55" i="15"/>
  <c r="X54" i="15"/>
  <c r="X53" i="15"/>
  <c r="X52" i="15"/>
  <c r="X51" i="15"/>
  <c r="X50" i="15"/>
  <c r="A51" i="15"/>
  <c r="O51" i="15"/>
  <c r="Q51" i="15"/>
  <c r="A52" i="15"/>
  <c r="O52" i="15"/>
  <c r="Q52" i="15"/>
  <c r="A53" i="15"/>
  <c r="O53" i="15"/>
  <c r="Q53" i="15"/>
  <c r="A54" i="15"/>
  <c r="O54" i="15"/>
  <c r="Q54" i="15"/>
  <c r="A55" i="15"/>
  <c r="O55" i="15"/>
  <c r="Q55" i="15"/>
  <c r="A56" i="15"/>
  <c r="O56" i="15"/>
  <c r="Q56" i="15"/>
  <c r="A57" i="15"/>
  <c r="O57" i="15"/>
  <c r="Q57" i="15"/>
  <c r="A58" i="15"/>
  <c r="O58" i="15"/>
  <c r="Q58" i="15"/>
  <c r="A59" i="15"/>
  <c r="O59" i="15"/>
  <c r="Q59" i="15"/>
  <c r="A60" i="15"/>
  <c r="O60" i="15"/>
  <c r="Q60" i="15"/>
  <c r="A61" i="15"/>
  <c r="O61" i="15"/>
  <c r="Q61" i="15"/>
  <c r="A62" i="15"/>
  <c r="O62" i="15"/>
  <c r="Q62" i="15"/>
  <c r="A63" i="15"/>
  <c r="O63" i="15"/>
  <c r="Q63" i="15"/>
  <c r="A64" i="15"/>
  <c r="O64" i="15"/>
  <c r="Q64" i="15"/>
  <c r="A65" i="15"/>
  <c r="O65" i="15"/>
  <c r="Q65" i="15"/>
  <c r="A66" i="15"/>
  <c r="A67" i="15"/>
  <c r="A68" i="15"/>
  <c r="A69" i="15"/>
  <c r="O69" i="15"/>
  <c r="U69" i="15" s="1"/>
  <c r="Q69" i="15"/>
  <c r="W69" i="15" s="1"/>
  <c r="E70" i="15"/>
  <c r="X70" i="15"/>
  <c r="A71" i="15"/>
  <c r="O71" i="15"/>
  <c r="Q71" i="15"/>
  <c r="X90" i="15"/>
  <c r="X89" i="15"/>
  <c r="X88" i="15"/>
  <c r="X87" i="15"/>
  <c r="X86" i="15"/>
  <c r="X85" i="15"/>
  <c r="X84" i="15"/>
  <c r="X83" i="15"/>
  <c r="X82" i="15"/>
  <c r="X81" i="15"/>
  <c r="X80" i="15"/>
  <c r="X79" i="15"/>
  <c r="X78" i="15"/>
  <c r="X77" i="15"/>
  <c r="X76" i="15"/>
  <c r="X75" i="15"/>
  <c r="X74" i="15"/>
  <c r="X73" i="15"/>
  <c r="X72" i="15"/>
  <c r="X71" i="15"/>
  <c r="A72" i="15"/>
  <c r="O72" i="15"/>
  <c r="Q72" i="15"/>
  <c r="A73" i="15"/>
  <c r="O73" i="15"/>
  <c r="Q73" i="15"/>
  <c r="A74" i="15"/>
  <c r="O74" i="15"/>
  <c r="Q74" i="15"/>
  <c r="A75" i="15"/>
  <c r="O75" i="15"/>
  <c r="Q75" i="15"/>
  <c r="A76" i="15"/>
  <c r="O76" i="15"/>
  <c r="Q76" i="15"/>
  <c r="A77" i="15"/>
  <c r="O77" i="15"/>
  <c r="Q77" i="15"/>
  <c r="A78" i="15"/>
  <c r="O78" i="15"/>
  <c r="Q78" i="15"/>
  <c r="A79" i="15"/>
  <c r="O79" i="15"/>
  <c r="Q79" i="15"/>
  <c r="A80" i="15"/>
  <c r="O80" i="15"/>
  <c r="Q80" i="15"/>
  <c r="A81" i="15"/>
  <c r="O81" i="15"/>
  <c r="Q81" i="15"/>
  <c r="A82" i="15"/>
  <c r="O82" i="15"/>
  <c r="Q82" i="15"/>
  <c r="A83" i="15"/>
  <c r="O83" i="15"/>
  <c r="Q83" i="15"/>
  <c r="A84" i="15"/>
  <c r="O84" i="15"/>
  <c r="Q84" i="15"/>
  <c r="A85" i="15"/>
  <c r="O85" i="15"/>
  <c r="Q85" i="15"/>
  <c r="A86" i="15"/>
  <c r="O86" i="15"/>
  <c r="Q86" i="15"/>
  <c r="A87" i="15"/>
  <c r="A88" i="15"/>
  <c r="A89" i="15"/>
  <c r="A90" i="15"/>
  <c r="O90" i="15"/>
  <c r="U90" i="15" s="1"/>
  <c r="Q90" i="15"/>
  <c r="W90" i="15" s="1"/>
  <c r="E91" i="15"/>
  <c r="X91" i="15"/>
  <c r="A92" i="15"/>
  <c r="O92" i="15"/>
  <c r="Q92" i="15"/>
  <c r="X111" i="15"/>
  <c r="X110" i="15"/>
  <c r="X109" i="15"/>
  <c r="X108" i="15"/>
  <c r="X107" i="15"/>
  <c r="X106" i="15"/>
  <c r="X105" i="15"/>
  <c r="X104" i="15"/>
  <c r="X103" i="15"/>
  <c r="X102" i="15"/>
  <c r="X101" i="15"/>
  <c r="X100" i="15"/>
  <c r="X99" i="15"/>
  <c r="X98" i="15"/>
  <c r="X97" i="15"/>
  <c r="X96" i="15"/>
  <c r="X95" i="15"/>
  <c r="X94" i="15"/>
  <c r="X93" i="15"/>
  <c r="X92" i="15"/>
  <c r="A93" i="15"/>
  <c r="O93" i="15"/>
  <c r="Q93" i="15"/>
  <c r="A94" i="15"/>
  <c r="O94" i="15"/>
  <c r="Q94" i="15"/>
  <c r="A95" i="15"/>
  <c r="O95" i="15"/>
  <c r="Q95" i="15"/>
  <c r="A96" i="15"/>
  <c r="O96" i="15"/>
  <c r="Q96" i="15"/>
  <c r="A97" i="15"/>
  <c r="O97" i="15"/>
  <c r="Q97" i="15"/>
  <c r="A98" i="15"/>
  <c r="O98" i="15"/>
  <c r="Q98" i="15"/>
  <c r="A99" i="15"/>
  <c r="O99" i="15"/>
  <c r="Q99" i="15"/>
  <c r="A100" i="15"/>
  <c r="O100" i="15"/>
  <c r="Q100" i="15"/>
  <c r="A101" i="15"/>
  <c r="O101" i="15"/>
  <c r="Q101" i="15"/>
  <c r="A102" i="15"/>
  <c r="O102" i="15"/>
  <c r="Q102" i="15"/>
  <c r="A103" i="15"/>
  <c r="O103" i="15"/>
  <c r="Q103" i="15"/>
  <c r="A104" i="15"/>
  <c r="O104" i="15"/>
  <c r="Q104" i="15"/>
  <c r="A105" i="15"/>
  <c r="O105" i="15"/>
  <c r="Q105" i="15"/>
  <c r="A106" i="15"/>
  <c r="O106" i="15"/>
  <c r="Q106" i="15"/>
  <c r="A107" i="15"/>
  <c r="O107" i="15"/>
  <c r="Q107" i="15"/>
  <c r="A108" i="15"/>
  <c r="A109" i="15"/>
  <c r="A110" i="15"/>
  <c r="A111" i="15"/>
  <c r="O111" i="15"/>
  <c r="U111" i="15" s="1"/>
  <c r="Q111" i="15"/>
  <c r="W111" i="15" s="1"/>
  <c r="E112" i="15"/>
  <c r="X112" i="15"/>
  <c r="A113" i="15"/>
  <c r="O113" i="15"/>
  <c r="Q113" i="15"/>
  <c r="X132" i="15"/>
  <c r="X131" i="15"/>
  <c r="X130" i="15"/>
  <c r="X129" i="15"/>
  <c r="X128" i="15"/>
  <c r="X127" i="15"/>
  <c r="X126" i="15"/>
  <c r="X125" i="15"/>
  <c r="X124" i="15"/>
  <c r="X123" i="15"/>
  <c r="X122" i="15"/>
  <c r="X121" i="15"/>
  <c r="X120" i="15"/>
  <c r="X119" i="15"/>
  <c r="X118" i="15"/>
  <c r="X117" i="15"/>
  <c r="X116" i="15"/>
  <c r="X115" i="15"/>
  <c r="X114" i="15"/>
  <c r="X113" i="15"/>
  <c r="A114" i="15"/>
  <c r="O114" i="15"/>
  <c r="Q114" i="15"/>
  <c r="A115" i="15"/>
  <c r="O115" i="15"/>
  <c r="Q115" i="15"/>
  <c r="A116" i="15"/>
  <c r="O116" i="15"/>
  <c r="Q116" i="15"/>
  <c r="A117" i="15"/>
  <c r="O117" i="15"/>
  <c r="Q117" i="15"/>
  <c r="A118" i="15"/>
  <c r="O118" i="15"/>
  <c r="Q118" i="15"/>
  <c r="A119" i="15"/>
  <c r="O119" i="15"/>
  <c r="Q119" i="15"/>
  <c r="A120" i="15"/>
  <c r="O120" i="15"/>
  <c r="Q120" i="15"/>
  <c r="A121" i="15"/>
  <c r="O121" i="15"/>
  <c r="Q121" i="15"/>
  <c r="A122" i="15"/>
  <c r="O122" i="15"/>
  <c r="Q122" i="15"/>
  <c r="A123" i="15"/>
  <c r="O123" i="15"/>
  <c r="Q123" i="15"/>
  <c r="A124" i="15"/>
  <c r="O124" i="15"/>
  <c r="Q124" i="15"/>
  <c r="A125" i="15"/>
  <c r="O125" i="15"/>
  <c r="Q125" i="15"/>
  <c r="A126" i="15"/>
  <c r="O126" i="15"/>
  <c r="Q126" i="15"/>
  <c r="A127" i="15"/>
  <c r="O127" i="15"/>
  <c r="Q127" i="15"/>
  <c r="A128" i="15"/>
  <c r="O128" i="15"/>
  <c r="Q128" i="15"/>
  <c r="A129" i="15"/>
  <c r="A130" i="15"/>
  <c r="A131" i="15"/>
  <c r="A132" i="15"/>
  <c r="O132" i="15"/>
  <c r="U132" i="15" s="1"/>
  <c r="Q132" i="15"/>
  <c r="W132" i="15" s="1"/>
  <c r="E133" i="15"/>
  <c r="X133" i="15"/>
  <c r="A134" i="15"/>
  <c r="O134" i="15"/>
  <c r="Q134" i="15"/>
  <c r="X153" i="15"/>
  <c r="X152" i="15"/>
  <c r="X151" i="15"/>
  <c r="X150" i="15"/>
  <c r="X149" i="15"/>
  <c r="X148" i="15"/>
  <c r="X147" i="15"/>
  <c r="X146" i="15"/>
  <c r="X145" i="15"/>
  <c r="X144" i="15"/>
  <c r="X143" i="15"/>
  <c r="X142" i="15"/>
  <c r="X141" i="15"/>
  <c r="X140" i="15"/>
  <c r="X139" i="15"/>
  <c r="X138" i="15"/>
  <c r="X137" i="15"/>
  <c r="X136" i="15"/>
  <c r="X135" i="15"/>
  <c r="X134" i="15"/>
  <c r="A135" i="15"/>
  <c r="O135" i="15"/>
  <c r="Q135" i="15"/>
  <c r="A136" i="15"/>
  <c r="O136" i="15"/>
  <c r="Q136" i="15"/>
  <c r="A137" i="15"/>
  <c r="O137" i="15"/>
  <c r="Q137" i="15"/>
  <c r="A138" i="15"/>
  <c r="O138" i="15"/>
  <c r="Q138" i="15"/>
  <c r="A139" i="15"/>
  <c r="O139" i="15"/>
  <c r="Q139" i="15"/>
  <c r="A140" i="15"/>
  <c r="O140" i="15"/>
  <c r="Q140" i="15"/>
  <c r="A141" i="15"/>
  <c r="O141" i="15"/>
  <c r="Q141" i="15"/>
  <c r="A142" i="15"/>
  <c r="O142" i="15"/>
  <c r="Q142" i="15"/>
  <c r="A143" i="15"/>
  <c r="O143" i="15"/>
  <c r="Q143" i="15"/>
  <c r="A144" i="15"/>
  <c r="O144" i="15"/>
  <c r="Q144" i="15"/>
  <c r="A145" i="15"/>
  <c r="O145" i="15"/>
  <c r="Q145" i="15"/>
  <c r="A146" i="15"/>
  <c r="O146" i="15"/>
  <c r="Q146" i="15"/>
  <c r="A147" i="15"/>
  <c r="O147" i="15"/>
  <c r="Q147" i="15"/>
  <c r="A148" i="15"/>
  <c r="O148" i="15"/>
  <c r="Q148" i="15"/>
  <c r="A149" i="15"/>
  <c r="O149" i="15"/>
  <c r="Q149" i="15"/>
  <c r="A150" i="15"/>
  <c r="A151" i="15"/>
  <c r="A152" i="15"/>
  <c r="A153" i="15"/>
  <c r="O153" i="15"/>
  <c r="U153" i="15" s="1"/>
  <c r="Q153" i="15"/>
  <c r="W153" i="15" s="1"/>
  <c r="E154" i="15"/>
  <c r="X154" i="15"/>
  <c r="A155" i="15"/>
  <c r="O155" i="15"/>
  <c r="Q155" i="15"/>
  <c r="X174" i="15"/>
  <c r="X173" i="15"/>
  <c r="X172" i="15"/>
  <c r="X171" i="15"/>
  <c r="X170" i="15"/>
  <c r="X169" i="15"/>
  <c r="X168" i="15"/>
  <c r="X167" i="15"/>
  <c r="X166" i="15"/>
  <c r="X165" i="15"/>
  <c r="X164" i="15"/>
  <c r="X163" i="15"/>
  <c r="X162" i="15"/>
  <c r="X161" i="15"/>
  <c r="X160" i="15"/>
  <c r="X159" i="15"/>
  <c r="X158" i="15"/>
  <c r="X157" i="15"/>
  <c r="X156" i="15"/>
  <c r="X155" i="15"/>
  <c r="A156" i="15"/>
  <c r="O156" i="15"/>
  <c r="Q156" i="15"/>
  <c r="A157" i="15"/>
  <c r="O157" i="15"/>
  <c r="Q157" i="15"/>
  <c r="A158" i="15"/>
  <c r="O158" i="15"/>
  <c r="Q158" i="15"/>
  <c r="A159" i="15"/>
  <c r="O159" i="15"/>
  <c r="Q159" i="15"/>
  <c r="A160" i="15"/>
  <c r="O160" i="15"/>
  <c r="Q160" i="15"/>
  <c r="A161" i="15"/>
  <c r="O161" i="15"/>
  <c r="Q161" i="15"/>
  <c r="A162" i="15"/>
  <c r="O162" i="15"/>
  <c r="Q162" i="15"/>
  <c r="A163" i="15"/>
  <c r="O163" i="15"/>
  <c r="Q163" i="15"/>
  <c r="A164" i="15"/>
  <c r="O164" i="15"/>
  <c r="Q164" i="15"/>
  <c r="A165" i="15"/>
  <c r="O165" i="15"/>
  <c r="Q165" i="15"/>
  <c r="A166" i="15"/>
  <c r="O166" i="15"/>
  <c r="Q166" i="15"/>
  <c r="A167" i="15"/>
  <c r="O167" i="15"/>
  <c r="Q167" i="15"/>
  <c r="A168" i="15"/>
  <c r="O168" i="15"/>
  <c r="Q168" i="15"/>
  <c r="A169" i="15"/>
  <c r="O169" i="15"/>
  <c r="Q169" i="15"/>
  <c r="A170" i="15"/>
  <c r="O170" i="15"/>
  <c r="Q170" i="15"/>
  <c r="A171" i="15"/>
  <c r="A172" i="15"/>
  <c r="A173" i="15"/>
  <c r="A174" i="15"/>
  <c r="O174" i="15"/>
  <c r="U174" i="15" s="1"/>
  <c r="Q174" i="15"/>
  <c r="W174" i="15" s="1"/>
  <c r="E175" i="15"/>
  <c r="X175" i="15"/>
  <c r="A176" i="15"/>
  <c r="O176" i="15"/>
  <c r="Q176" i="15"/>
  <c r="X195" i="15"/>
  <c r="X194" i="15"/>
  <c r="X193" i="15"/>
  <c r="X192" i="15"/>
  <c r="X191" i="15"/>
  <c r="X190" i="15"/>
  <c r="X189" i="15"/>
  <c r="X188" i="15"/>
  <c r="X187" i="15"/>
  <c r="X186" i="15"/>
  <c r="X185" i="15"/>
  <c r="X184" i="15"/>
  <c r="X183" i="15"/>
  <c r="X182" i="15"/>
  <c r="X181" i="15"/>
  <c r="X180" i="15"/>
  <c r="X179" i="15"/>
  <c r="X178" i="15"/>
  <c r="X177" i="15"/>
  <c r="X176" i="15"/>
  <c r="A177" i="15"/>
  <c r="O177" i="15"/>
  <c r="Q177" i="15"/>
  <c r="A178" i="15"/>
  <c r="O178" i="15"/>
  <c r="Q178" i="15"/>
  <c r="A179" i="15"/>
  <c r="O179" i="15"/>
  <c r="Q179" i="15"/>
  <c r="A180" i="15"/>
  <c r="O180" i="15"/>
  <c r="Q180" i="15"/>
  <c r="A181" i="15"/>
  <c r="O181" i="15"/>
  <c r="Q181" i="15"/>
  <c r="A182" i="15"/>
  <c r="O182" i="15"/>
  <c r="Q182" i="15"/>
  <c r="A183" i="15"/>
  <c r="O183" i="15"/>
  <c r="Q183" i="15"/>
  <c r="A184" i="15"/>
  <c r="O184" i="15"/>
  <c r="Q184" i="15"/>
  <c r="A185" i="15"/>
  <c r="O185" i="15"/>
  <c r="Q185" i="15"/>
  <c r="A186" i="15"/>
  <c r="O186" i="15"/>
  <c r="Q186" i="15"/>
  <c r="A187" i="15"/>
  <c r="O187" i="15"/>
  <c r="Q187" i="15"/>
  <c r="A188" i="15"/>
  <c r="O188" i="15"/>
  <c r="Q188" i="15"/>
  <c r="A189" i="15"/>
  <c r="O189" i="15"/>
  <c r="Q189" i="15"/>
  <c r="A190" i="15"/>
  <c r="O190" i="15"/>
  <c r="Q190" i="15"/>
  <c r="A191" i="15"/>
  <c r="O191" i="15"/>
  <c r="Q191" i="15"/>
  <c r="A192" i="15"/>
  <c r="A193" i="15"/>
  <c r="A194" i="15"/>
  <c r="A195" i="15"/>
  <c r="O195" i="15"/>
  <c r="U195" i="15" s="1"/>
  <c r="Q195" i="15"/>
  <c r="W195" i="15" s="1"/>
  <c r="E196" i="15"/>
  <c r="X196" i="15"/>
  <c r="A197" i="15"/>
  <c r="O197" i="15"/>
  <c r="Q197" i="15"/>
  <c r="X216" i="15"/>
  <c r="X215" i="15"/>
  <c r="X214" i="15"/>
  <c r="X213" i="15"/>
  <c r="X212" i="15"/>
  <c r="X211" i="15"/>
  <c r="X210" i="15"/>
  <c r="X209" i="15"/>
  <c r="X208" i="15"/>
  <c r="X207" i="15"/>
  <c r="X206" i="15"/>
  <c r="X205" i="15"/>
  <c r="X204" i="15"/>
  <c r="X203" i="15"/>
  <c r="X202" i="15"/>
  <c r="X201" i="15"/>
  <c r="X200" i="15"/>
  <c r="X199" i="15"/>
  <c r="X198" i="15"/>
  <c r="X197" i="15"/>
  <c r="A198" i="15"/>
  <c r="O198" i="15"/>
  <c r="Q198" i="15"/>
  <c r="A199" i="15"/>
  <c r="O199" i="15"/>
  <c r="Q199" i="15"/>
  <c r="A200" i="15"/>
  <c r="O200" i="15"/>
  <c r="Q200" i="15"/>
  <c r="A201" i="15"/>
  <c r="O201" i="15"/>
  <c r="Q201" i="15"/>
  <c r="A202" i="15"/>
  <c r="O202" i="15"/>
  <c r="Q202" i="15"/>
  <c r="A203" i="15"/>
  <c r="O203" i="15"/>
  <c r="Q203" i="15"/>
  <c r="A204" i="15"/>
  <c r="O204" i="15"/>
  <c r="Q204" i="15"/>
  <c r="A205" i="15"/>
  <c r="O205" i="15"/>
  <c r="Q205" i="15"/>
  <c r="A206" i="15"/>
  <c r="O206" i="15"/>
  <c r="Q206" i="15"/>
  <c r="A207" i="15"/>
  <c r="O207" i="15"/>
  <c r="Q207" i="15"/>
  <c r="A208" i="15"/>
  <c r="O208" i="15"/>
  <c r="Q208" i="15"/>
  <c r="A209" i="15"/>
  <c r="O209" i="15"/>
  <c r="Q209" i="15"/>
  <c r="A210" i="15"/>
  <c r="O210" i="15"/>
  <c r="Q210" i="15"/>
  <c r="A211" i="15"/>
  <c r="O211" i="15"/>
  <c r="Q211" i="15"/>
  <c r="A212" i="15"/>
  <c r="O212" i="15"/>
  <c r="Q212" i="15"/>
  <c r="A213" i="15"/>
  <c r="A214" i="15"/>
  <c r="A215" i="15"/>
  <c r="A216" i="15"/>
  <c r="O216" i="15"/>
  <c r="U216" i="15" s="1"/>
  <c r="Q216" i="15"/>
  <c r="W216" i="15" s="1"/>
  <c r="E217" i="15"/>
  <c r="X217" i="15"/>
  <c r="A218" i="15"/>
  <c r="O218" i="15"/>
  <c r="Q218" i="15"/>
  <c r="X237" i="15"/>
  <c r="X236" i="15"/>
  <c r="X235" i="15"/>
  <c r="X234" i="15"/>
  <c r="X233" i="15"/>
  <c r="X232" i="15"/>
  <c r="X231" i="15"/>
  <c r="X230" i="15"/>
  <c r="X229" i="15"/>
  <c r="X228" i="15"/>
  <c r="X227" i="15"/>
  <c r="X226" i="15"/>
  <c r="X225" i="15"/>
  <c r="X224" i="15"/>
  <c r="X223" i="15"/>
  <c r="X222" i="15"/>
  <c r="X221" i="15"/>
  <c r="X220" i="15"/>
  <c r="X219" i="15"/>
  <c r="X218" i="15"/>
  <c r="A219" i="15"/>
  <c r="O219" i="15"/>
  <c r="Q219" i="15"/>
  <c r="A220" i="15"/>
  <c r="O220" i="15"/>
  <c r="Q220" i="15"/>
  <c r="A221" i="15"/>
  <c r="O221" i="15"/>
  <c r="Q221" i="15"/>
  <c r="A222" i="15"/>
  <c r="O222" i="15"/>
  <c r="Q222" i="15"/>
  <c r="A223" i="15"/>
  <c r="O223" i="15"/>
  <c r="Q223" i="15"/>
  <c r="A224" i="15"/>
  <c r="O224" i="15"/>
  <c r="Q224" i="15"/>
  <c r="A225" i="15"/>
  <c r="O225" i="15"/>
  <c r="Q225" i="15"/>
  <c r="A226" i="15"/>
  <c r="O226" i="15"/>
  <c r="Q226" i="15"/>
  <c r="A227" i="15"/>
  <c r="O227" i="15"/>
  <c r="Q227" i="15"/>
  <c r="A228" i="15"/>
  <c r="O228" i="15"/>
  <c r="Q228" i="15"/>
  <c r="A229" i="15"/>
  <c r="O229" i="15"/>
  <c r="Q229" i="15"/>
  <c r="A230" i="15"/>
  <c r="O230" i="15"/>
  <c r="Q230" i="15"/>
  <c r="A231" i="15"/>
  <c r="O231" i="15"/>
  <c r="Q231" i="15"/>
  <c r="A232" i="15"/>
  <c r="O232" i="15"/>
  <c r="Q232" i="15"/>
  <c r="A233" i="15"/>
  <c r="O233" i="15"/>
  <c r="Q233" i="15"/>
  <c r="A234" i="15"/>
  <c r="A235" i="15"/>
  <c r="A236" i="15"/>
  <c r="A237" i="15"/>
  <c r="O237" i="15"/>
  <c r="U237" i="15" s="1"/>
  <c r="Q237" i="15"/>
  <c r="W237" i="15" s="1"/>
  <c r="E238" i="15"/>
  <c r="X238" i="15"/>
  <c r="A239" i="15"/>
  <c r="O239" i="15"/>
  <c r="Q239" i="15"/>
  <c r="X258" i="15"/>
  <c r="X257" i="15"/>
  <c r="X256" i="15"/>
  <c r="X255" i="15"/>
  <c r="X254" i="15"/>
  <c r="X253" i="15"/>
  <c r="X252" i="15"/>
  <c r="X251" i="15"/>
  <c r="X250" i="15"/>
  <c r="X249" i="15"/>
  <c r="X248" i="15"/>
  <c r="X247" i="15"/>
  <c r="X246" i="15"/>
  <c r="X245" i="15"/>
  <c r="X244" i="15"/>
  <c r="X243" i="15"/>
  <c r="X242" i="15"/>
  <c r="X241" i="15"/>
  <c r="X240" i="15"/>
  <c r="X239" i="15"/>
  <c r="A240" i="15"/>
  <c r="O240" i="15"/>
  <c r="Q240" i="15"/>
  <c r="A241" i="15"/>
  <c r="O241" i="15"/>
  <c r="Q241" i="15"/>
  <c r="A242" i="15"/>
  <c r="O242" i="15"/>
  <c r="Q242" i="15"/>
  <c r="A243" i="15"/>
  <c r="O243" i="15"/>
  <c r="Q243" i="15"/>
  <c r="A244" i="15"/>
  <c r="O244" i="15"/>
  <c r="Q244" i="15"/>
  <c r="A245" i="15"/>
  <c r="O245" i="15"/>
  <c r="Q245" i="15"/>
  <c r="A246" i="15"/>
  <c r="O246" i="15"/>
  <c r="Q246" i="15"/>
  <c r="A247" i="15"/>
  <c r="O247" i="15"/>
  <c r="Q247" i="15"/>
  <c r="A248" i="15"/>
  <c r="O248" i="15"/>
  <c r="Q248" i="15"/>
  <c r="A249" i="15"/>
  <c r="O249" i="15"/>
  <c r="Q249" i="15"/>
  <c r="A250" i="15"/>
  <c r="O250" i="15"/>
  <c r="Q250" i="15"/>
  <c r="A251" i="15"/>
  <c r="O251" i="15"/>
  <c r="Q251" i="15"/>
  <c r="A252" i="15"/>
  <c r="O252" i="15"/>
  <c r="Q252" i="15"/>
  <c r="A253" i="15"/>
  <c r="O253" i="15"/>
  <c r="Q253" i="15"/>
  <c r="A254" i="15"/>
  <c r="O254" i="15"/>
  <c r="Q254" i="15"/>
  <c r="A255" i="15"/>
  <c r="A256" i="15"/>
  <c r="A257" i="15"/>
  <c r="A258" i="15"/>
  <c r="O258" i="15"/>
  <c r="U258" i="15" s="1"/>
  <c r="Q258" i="15"/>
  <c r="W258" i="15" s="1"/>
  <c r="E259" i="15"/>
  <c r="X259" i="15"/>
  <c r="A260" i="15"/>
  <c r="O260" i="15"/>
  <c r="Q260" i="15"/>
  <c r="X279" i="15"/>
  <c r="X278" i="15"/>
  <c r="X277" i="15"/>
  <c r="X276" i="15"/>
  <c r="X275" i="15"/>
  <c r="X274" i="15"/>
  <c r="X273" i="15"/>
  <c r="X272" i="15"/>
  <c r="X271" i="15"/>
  <c r="X270" i="15"/>
  <c r="X269" i="15"/>
  <c r="X268" i="15"/>
  <c r="X267" i="15"/>
  <c r="X266" i="15"/>
  <c r="X265" i="15"/>
  <c r="X264" i="15"/>
  <c r="X263" i="15"/>
  <c r="X262" i="15"/>
  <c r="X261" i="15"/>
  <c r="X260" i="15"/>
  <c r="A261" i="15"/>
  <c r="O261" i="15"/>
  <c r="Q261" i="15"/>
  <c r="A262" i="15"/>
  <c r="O262" i="15"/>
  <c r="Q262" i="15"/>
  <c r="A263" i="15"/>
  <c r="O263" i="15"/>
  <c r="Q263" i="15"/>
  <c r="A264" i="15"/>
  <c r="O264" i="15"/>
  <c r="Q264" i="15"/>
  <c r="A265" i="15"/>
  <c r="O265" i="15"/>
  <c r="Q265" i="15"/>
  <c r="A266" i="15"/>
  <c r="O266" i="15"/>
  <c r="Q266" i="15"/>
  <c r="A267" i="15"/>
  <c r="O267" i="15"/>
  <c r="Q267" i="15"/>
  <c r="A268" i="15"/>
  <c r="O268" i="15"/>
  <c r="Q268" i="15"/>
  <c r="A269" i="15"/>
  <c r="O269" i="15"/>
  <c r="Q269" i="15"/>
  <c r="A270" i="15"/>
  <c r="O270" i="15"/>
  <c r="Q270" i="15"/>
  <c r="A271" i="15"/>
  <c r="O271" i="15"/>
  <c r="Q271" i="15"/>
  <c r="A272" i="15"/>
  <c r="O272" i="15"/>
  <c r="Q272" i="15"/>
  <c r="A273" i="15"/>
  <c r="O273" i="15"/>
  <c r="Q273" i="15"/>
  <c r="A274" i="15"/>
  <c r="O274" i="15"/>
  <c r="Q274" i="15"/>
  <c r="A275" i="15"/>
  <c r="O275" i="15"/>
  <c r="Q275" i="15"/>
  <c r="A276" i="15"/>
  <c r="A277" i="15"/>
  <c r="A278" i="15"/>
  <c r="A279" i="15"/>
  <c r="O279" i="15"/>
  <c r="U279" i="15" s="1"/>
  <c r="Q279" i="15"/>
  <c r="W279" i="15" s="1"/>
  <c r="E280" i="15"/>
  <c r="X280" i="15"/>
  <c r="A281" i="15"/>
  <c r="O281" i="15"/>
  <c r="Q281" i="15"/>
  <c r="X300" i="15"/>
  <c r="X299" i="15"/>
  <c r="X298" i="15"/>
  <c r="X297" i="15"/>
  <c r="X296" i="15"/>
  <c r="X295" i="15"/>
  <c r="X294" i="15"/>
  <c r="X293" i="15"/>
  <c r="X292" i="15"/>
  <c r="X291" i="15"/>
  <c r="X290" i="15"/>
  <c r="X289" i="15"/>
  <c r="X288" i="15"/>
  <c r="X287" i="15"/>
  <c r="X286" i="15"/>
  <c r="X285" i="15"/>
  <c r="X284" i="15"/>
  <c r="X283" i="15"/>
  <c r="X282" i="15"/>
  <c r="X281" i="15"/>
  <c r="A282" i="15"/>
  <c r="O282" i="15"/>
  <c r="Q282" i="15"/>
  <c r="A283" i="15"/>
  <c r="O283" i="15"/>
  <c r="Q283" i="15"/>
  <c r="A284" i="15"/>
  <c r="O284" i="15"/>
  <c r="Q284" i="15"/>
  <c r="A285" i="15"/>
  <c r="O285" i="15"/>
  <c r="Q285" i="15"/>
  <c r="A286" i="15"/>
  <c r="O286" i="15"/>
  <c r="Q286" i="15"/>
  <c r="A287" i="15"/>
  <c r="O287" i="15"/>
  <c r="Q287" i="15"/>
  <c r="A288" i="15"/>
  <c r="O288" i="15"/>
  <c r="Q288" i="15"/>
  <c r="A289" i="15"/>
  <c r="O289" i="15"/>
  <c r="Q289" i="15"/>
  <c r="A290" i="15"/>
  <c r="O290" i="15"/>
  <c r="Q290" i="15"/>
  <c r="A291" i="15"/>
  <c r="O291" i="15"/>
  <c r="Q291" i="15"/>
  <c r="A292" i="15"/>
  <c r="O292" i="15"/>
  <c r="Q292" i="15"/>
  <c r="A293" i="15"/>
  <c r="O293" i="15"/>
  <c r="Q293" i="15"/>
  <c r="A294" i="15"/>
  <c r="O294" i="15"/>
  <c r="Q294" i="15"/>
  <c r="A295" i="15"/>
  <c r="O295" i="15"/>
  <c r="Q295" i="15"/>
  <c r="A296" i="15"/>
  <c r="O296" i="15"/>
  <c r="Q296" i="15"/>
  <c r="A297" i="15"/>
  <c r="A298" i="15"/>
  <c r="A299" i="15"/>
  <c r="A300" i="15"/>
  <c r="O300" i="15"/>
  <c r="U300" i="15" s="1"/>
  <c r="Q300" i="15"/>
  <c r="W300" i="15" s="1"/>
  <c r="E301" i="15"/>
  <c r="X301" i="15"/>
  <c r="A302" i="15"/>
  <c r="O302" i="15"/>
  <c r="Q302" i="15"/>
  <c r="X321" i="15"/>
  <c r="X320" i="15"/>
  <c r="X319" i="15"/>
  <c r="X318" i="15"/>
  <c r="X317" i="15"/>
  <c r="X316" i="15"/>
  <c r="X315" i="15"/>
  <c r="X314" i="15"/>
  <c r="X313" i="15"/>
  <c r="X312" i="15"/>
  <c r="X311" i="15"/>
  <c r="X310" i="15"/>
  <c r="X309" i="15"/>
  <c r="X308" i="15"/>
  <c r="X307" i="15"/>
  <c r="X306" i="15"/>
  <c r="X305" i="15"/>
  <c r="X304" i="15"/>
  <c r="X303" i="15"/>
  <c r="X302" i="15"/>
  <c r="A303" i="15"/>
  <c r="O303" i="15"/>
  <c r="Q303" i="15"/>
  <c r="A304" i="15"/>
  <c r="O304" i="15"/>
  <c r="Q304" i="15"/>
  <c r="A305" i="15"/>
  <c r="O305" i="15"/>
  <c r="Q305" i="15"/>
  <c r="A306" i="15"/>
  <c r="O306" i="15"/>
  <c r="Q306" i="15"/>
  <c r="A307" i="15"/>
  <c r="O307" i="15"/>
  <c r="Q307" i="15"/>
  <c r="A308" i="15"/>
  <c r="O308" i="15"/>
  <c r="Q308" i="15"/>
  <c r="A309" i="15"/>
  <c r="O309" i="15"/>
  <c r="Q309" i="15"/>
  <c r="A310" i="15"/>
  <c r="O310" i="15"/>
  <c r="Q310" i="15"/>
  <c r="A311" i="15"/>
  <c r="O311" i="15"/>
  <c r="Q311" i="15"/>
  <c r="A312" i="15"/>
  <c r="O312" i="15"/>
  <c r="Q312" i="15"/>
  <c r="A313" i="15"/>
  <c r="O313" i="15"/>
  <c r="Q313" i="15"/>
  <c r="A314" i="15"/>
  <c r="O314" i="15"/>
  <c r="Q314" i="15"/>
  <c r="A315" i="15"/>
  <c r="O315" i="15"/>
  <c r="Q315" i="15"/>
  <c r="A316" i="15"/>
  <c r="O316" i="15"/>
  <c r="Q316" i="15"/>
  <c r="A317" i="15"/>
  <c r="O317" i="15"/>
  <c r="Q317" i="15"/>
  <c r="A318" i="15"/>
  <c r="A319" i="15"/>
  <c r="A320" i="15"/>
  <c r="A321" i="15"/>
  <c r="O321" i="15"/>
  <c r="U321" i="15" s="1"/>
  <c r="Q321" i="15"/>
  <c r="W321" i="15" s="1"/>
  <c r="E322" i="15"/>
  <c r="X322" i="15"/>
  <c r="A323" i="15"/>
  <c r="O323" i="15"/>
  <c r="Q323" i="15"/>
  <c r="X342" i="15"/>
  <c r="X341" i="15"/>
  <c r="X340" i="15"/>
  <c r="X339" i="15"/>
  <c r="X338" i="15"/>
  <c r="X337" i="15"/>
  <c r="X336" i="15"/>
  <c r="X335" i="15"/>
  <c r="X334" i="15"/>
  <c r="X333" i="15"/>
  <c r="X332" i="15"/>
  <c r="X331" i="15"/>
  <c r="X330" i="15"/>
  <c r="X329" i="15"/>
  <c r="X328" i="15"/>
  <c r="X327" i="15"/>
  <c r="X326" i="15"/>
  <c r="X325" i="15"/>
  <c r="X324" i="15"/>
  <c r="X323" i="15"/>
  <c r="A324" i="15"/>
  <c r="O324" i="15"/>
  <c r="Q324" i="15"/>
  <c r="A325" i="15"/>
  <c r="O325" i="15"/>
  <c r="Q325" i="15"/>
  <c r="A326" i="15"/>
  <c r="O326" i="15"/>
  <c r="Q326" i="15"/>
  <c r="A327" i="15"/>
  <c r="O327" i="15"/>
  <c r="Q327" i="15"/>
  <c r="A328" i="15"/>
  <c r="O328" i="15"/>
  <c r="Q328" i="15"/>
  <c r="A329" i="15"/>
  <c r="O329" i="15"/>
  <c r="Q329" i="15"/>
  <c r="A330" i="15"/>
  <c r="O330" i="15"/>
  <c r="Q330" i="15"/>
  <c r="A331" i="15"/>
  <c r="O331" i="15"/>
  <c r="Q331" i="15"/>
  <c r="A332" i="15"/>
  <c r="O332" i="15"/>
  <c r="Q332" i="15"/>
  <c r="A333" i="15"/>
  <c r="O333" i="15"/>
  <c r="Q333" i="15"/>
  <c r="A334" i="15"/>
  <c r="O334" i="15"/>
  <c r="Q334" i="15"/>
  <c r="A335" i="15"/>
  <c r="O335" i="15"/>
  <c r="Q335" i="15"/>
  <c r="A336" i="15"/>
  <c r="O336" i="15"/>
  <c r="Q336" i="15"/>
  <c r="A337" i="15"/>
  <c r="O337" i="15"/>
  <c r="Q337" i="15"/>
  <c r="A338" i="15"/>
  <c r="O338" i="15"/>
  <c r="Q338" i="15"/>
  <c r="A339" i="15"/>
  <c r="A340" i="15"/>
  <c r="A341" i="15"/>
  <c r="A342" i="15"/>
  <c r="O342" i="15"/>
  <c r="U342" i="15" s="1"/>
  <c r="Q342" i="15"/>
  <c r="W342" i="15" s="1"/>
  <c r="E343" i="15"/>
  <c r="X343" i="15"/>
  <c r="A344" i="15"/>
  <c r="O344" i="15"/>
  <c r="Q344" i="15"/>
  <c r="X363" i="15"/>
  <c r="X362" i="15"/>
  <c r="X361" i="15"/>
  <c r="X360" i="15"/>
  <c r="X359" i="15"/>
  <c r="X358" i="15"/>
  <c r="X357" i="15"/>
  <c r="X356" i="15"/>
  <c r="X355" i="15"/>
  <c r="X354" i="15"/>
  <c r="X353" i="15"/>
  <c r="X352" i="15"/>
  <c r="X351" i="15"/>
  <c r="X350" i="15"/>
  <c r="X349" i="15"/>
  <c r="X348" i="15"/>
  <c r="X347" i="15"/>
  <c r="X346" i="15"/>
  <c r="X345" i="15"/>
  <c r="X344" i="15"/>
  <c r="A345" i="15"/>
  <c r="O345" i="15"/>
  <c r="Q345" i="15"/>
  <c r="A346" i="15"/>
  <c r="O346" i="15"/>
  <c r="Q346" i="15"/>
  <c r="A347" i="15"/>
  <c r="O347" i="15"/>
  <c r="Q347" i="15"/>
  <c r="A348" i="15"/>
  <c r="O348" i="15"/>
  <c r="Q348" i="15"/>
  <c r="A349" i="15"/>
  <c r="O349" i="15"/>
  <c r="Q349" i="15"/>
  <c r="A350" i="15"/>
  <c r="O350" i="15"/>
  <c r="Q350" i="15"/>
  <c r="A351" i="15"/>
  <c r="O351" i="15"/>
  <c r="Q351" i="15"/>
  <c r="A352" i="15"/>
  <c r="O352" i="15"/>
  <c r="Q352" i="15"/>
  <c r="A353" i="15"/>
  <c r="O353" i="15"/>
  <c r="Q353" i="15"/>
  <c r="A354" i="15"/>
  <c r="O354" i="15"/>
  <c r="Q354" i="15"/>
  <c r="A355" i="15"/>
  <c r="O355" i="15"/>
  <c r="Q355" i="15"/>
  <c r="A356" i="15"/>
  <c r="O356" i="15"/>
  <c r="Q356" i="15"/>
  <c r="A357" i="15"/>
  <c r="O357" i="15"/>
  <c r="Q357" i="15"/>
  <c r="A358" i="15"/>
  <c r="O358" i="15"/>
  <c r="Q358" i="15"/>
  <c r="A359" i="15"/>
  <c r="O359" i="15"/>
  <c r="Q359" i="15"/>
  <c r="A360" i="15"/>
  <c r="A361" i="15"/>
  <c r="A362" i="15"/>
  <c r="A363" i="15"/>
  <c r="O363" i="15"/>
  <c r="U363" i="15" s="1"/>
  <c r="Q363" i="15"/>
  <c r="W363" i="15" s="1"/>
  <c r="E364" i="15"/>
  <c r="X364" i="15"/>
  <c r="A365" i="15"/>
  <c r="O365" i="15"/>
  <c r="Q365" i="15"/>
  <c r="X384" i="15"/>
  <c r="X383" i="15"/>
  <c r="X382" i="15"/>
  <c r="X381" i="15"/>
  <c r="X380" i="15"/>
  <c r="X379" i="15"/>
  <c r="X378" i="15"/>
  <c r="X377" i="15"/>
  <c r="X376" i="15"/>
  <c r="X375" i="15"/>
  <c r="X374" i="15"/>
  <c r="X373" i="15"/>
  <c r="X372" i="15"/>
  <c r="X371" i="15"/>
  <c r="X370" i="15"/>
  <c r="X369" i="15"/>
  <c r="X368" i="15"/>
  <c r="X367" i="15"/>
  <c r="X366" i="15"/>
  <c r="X365" i="15"/>
  <c r="A366" i="15"/>
  <c r="O366" i="15"/>
  <c r="Q366" i="15"/>
  <c r="A367" i="15"/>
  <c r="O367" i="15"/>
  <c r="Q367" i="15"/>
  <c r="A368" i="15"/>
  <c r="O368" i="15"/>
  <c r="Q368" i="15"/>
  <c r="A369" i="15"/>
  <c r="O369" i="15"/>
  <c r="Q369" i="15"/>
  <c r="A370" i="15"/>
  <c r="O370" i="15"/>
  <c r="Q370" i="15"/>
  <c r="A371" i="15"/>
  <c r="O371" i="15"/>
  <c r="Q371" i="15"/>
  <c r="A372" i="15"/>
  <c r="O372" i="15"/>
  <c r="Q372" i="15"/>
  <c r="A373" i="15"/>
  <c r="O373" i="15"/>
  <c r="Q373" i="15"/>
  <c r="A374" i="15"/>
  <c r="O374" i="15"/>
  <c r="Q374" i="15"/>
  <c r="A375" i="15"/>
  <c r="O375" i="15"/>
  <c r="Q375" i="15"/>
  <c r="A376" i="15"/>
  <c r="O376" i="15"/>
  <c r="Q376" i="15"/>
  <c r="A377" i="15"/>
  <c r="O377" i="15"/>
  <c r="Q377" i="15"/>
  <c r="A378" i="15"/>
  <c r="O378" i="15"/>
  <c r="Q378" i="15"/>
  <c r="A379" i="15"/>
  <c r="O379" i="15"/>
  <c r="Q379" i="15"/>
  <c r="A380" i="15"/>
  <c r="O380" i="15"/>
  <c r="Q380" i="15"/>
  <c r="A381" i="15"/>
  <c r="A382" i="15"/>
  <c r="A383" i="15"/>
  <c r="A384" i="15"/>
  <c r="O384" i="15"/>
  <c r="U384" i="15" s="1"/>
  <c r="Q384" i="15"/>
  <c r="W384" i="15" s="1"/>
  <c r="E385" i="15"/>
  <c r="X385" i="15"/>
  <c r="A386" i="15"/>
  <c r="O386" i="15"/>
  <c r="Q386" i="15"/>
  <c r="X405" i="15"/>
  <c r="X404" i="15"/>
  <c r="X403" i="15"/>
  <c r="X402" i="15"/>
  <c r="X401" i="15"/>
  <c r="X400" i="15"/>
  <c r="X399" i="15"/>
  <c r="X398" i="15"/>
  <c r="X397" i="15"/>
  <c r="X396" i="15"/>
  <c r="X395" i="15"/>
  <c r="X394" i="15"/>
  <c r="X393" i="15"/>
  <c r="X392" i="15"/>
  <c r="X391" i="15"/>
  <c r="X390" i="15"/>
  <c r="X389" i="15"/>
  <c r="X388" i="15"/>
  <c r="X387" i="15"/>
  <c r="X386" i="15"/>
  <c r="A387" i="15"/>
  <c r="O387" i="15"/>
  <c r="Q387" i="15"/>
  <c r="A388" i="15"/>
  <c r="O388" i="15"/>
  <c r="Q388" i="15"/>
  <c r="A389" i="15"/>
  <c r="O389" i="15"/>
  <c r="Q389" i="15"/>
  <c r="A390" i="15"/>
  <c r="O390" i="15"/>
  <c r="Q390" i="15"/>
  <c r="A391" i="15"/>
  <c r="O391" i="15"/>
  <c r="Q391" i="15"/>
  <c r="A392" i="15"/>
  <c r="O392" i="15"/>
  <c r="Q392" i="15"/>
  <c r="A393" i="15"/>
  <c r="O393" i="15"/>
  <c r="Q393" i="15"/>
  <c r="A394" i="15"/>
  <c r="O394" i="15"/>
  <c r="Q394" i="15"/>
  <c r="A395" i="15"/>
  <c r="O395" i="15"/>
  <c r="Q395" i="15"/>
  <c r="A396" i="15"/>
  <c r="O396" i="15"/>
  <c r="Q396" i="15"/>
  <c r="A397" i="15"/>
  <c r="O397" i="15"/>
  <c r="Q397" i="15"/>
  <c r="A398" i="15"/>
  <c r="O398" i="15"/>
  <c r="Q398" i="15"/>
  <c r="A399" i="15"/>
  <c r="O399" i="15"/>
  <c r="Q399" i="15"/>
  <c r="A400" i="15"/>
  <c r="O400" i="15"/>
  <c r="Q400" i="15"/>
  <c r="A401" i="15"/>
  <c r="O401" i="15"/>
  <c r="Q401" i="15"/>
  <c r="A402" i="15"/>
  <c r="A403" i="15"/>
  <c r="A404" i="15"/>
  <c r="A405" i="15"/>
  <c r="O405" i="15"/>
  <c r="U405" i="15" s="1"/>
  <c r="Q405" i="15"/>
  <c r="W405" i="15" s="1"/>
  <c r="E406" i="15"/>
  <c r="X406" i="15"/>
  <c r="A407" i="15"/>
  <c r="O407" i="15"/>
  <c r="Q407" i="15"/>
  <c r="X426" i="15"/>
  <c r="X425" i="15"/>
  <c r="X424" i="15"/>
  <c r="X423" i="15"/>
  <c r="X422" i="15"/>
  <c r="X421" i="15"/>
  <c r="X420" i="15"/>
  <c r="X419" i="15"/>
  <c r="X418" i="15"/>
  <c r="X417" i="15"/>
  <c r="X416" i="15"/>
  <c r="X415" i="15"/>
  <c r="X414" i="15"/>
  <c r="X413" i="15"/>
  <c r="X412" i="15"/>
  <c r="X411" i="15"/>
  <c r="X410" i="15"/>
  <c r="X409" i="15"/>
  <c r="X408" i="15"/>
  <c r="X407" i="15"/>
  <c r="A408" i="15"/>
  <c r="O408" i="15"/>
  <c r="Q408" i="15"/>
  <c r="A409" i="15"/>
  <c r="O409" i="15"/>
  <c r="Q409" i="15"/>
  <c r="A410" i="15"/>
  <c r="O410" i="15"/>
  <c r="Q410" i="15"/>
  <c r="A411" i="15"/>
  <c r="O411" i="15"/>
  <c r="Q411" i="15"/>
  <c r="A412" i="15"/>
  <c r="O412" i="15"/>
  <c r="Q412" i="15"/>
  <c r="A413" i="15"/>
  <c r="O413" i="15"/>
  <c r="Q413" i="15"/>
  <c r="A414" i="15"/>
  <c r="O414" i="15"/>
  <c r="Q414" i="15"/>
  <c r="A415" i="15"/>
  <c r="O415" i="15"/>
  <c r="Q415" i="15"/>
  <c r="A416" i="15"/>
  <c r="O416" i="15"/>
  <c r="Q416" i="15"/>
  <c r="A417" i="15"/>
  <c r="O417" i="15"/>
  <c r="Q417" i="15"/>
  <c r="A418" i="15"/>
  <c r="O418" i="15"/>
  <c r="Q418" i="15"/>
  <c r="A419" i="15"/>
  <c r="O419" i="15"/>
  <c r="Q419" i="15"/>
  <c r="A420" i="15"/>
  <c r="O420" i="15"/>
  <c r="Q420" i="15"/>
  <c r="A421" i="15"/>
  <c r="O421" i="15"/>
  <c r="Q421" i="15"/>
  <c r="A422" i="15"/>
  <c r="O422" i="15"/>
  <c r="Q422" i="15"/>
  <c r="A423" i="15"/>
  <c r="A424" i="15"/>
  <c r="A425" i="15"/>
  <c r="A426" i="15"/>
  <c r="O426" i="15"/>
  <c r="U426" i="15" s="1"/>
  <c r="Q426" i="15"/>
  <c r="W426" i="15" s="1"/>
  <c r="E427" i="15"/>
  <c r="X427" i="15"/>
  <c r="A8" i="14"/>
  <c r="O8" i="14"/>
  <c r="Q8" i="14"/>
  <c r="X27" i="14"/>
  <c r="X26" i="14"/>
  <c r="X25" i="14"/>
  <c r="X24" i="14"/>
  <c r="X23" i="14"/>
  <c r="X22" i="14"/>
  <c r="X21" i="14"/>
  <c r="X20" i="14"/>
  <c r="X19" i="14"/>
  <c r="X18" i="14"/>
  <c r="X17" i="14"/>
  <c r="X16" i="14"/>
  <c r="X15" i="14"/>
  <c r="X14" i="14"/>
  <c r="X13" i="14"/>
  <c r="X12" i="14"/>
  <c r="X11" i="14"/>
  <c r="X10" i="14"/>
  <c r="X9" i="14"/>
  <c r="X8" i="14"/>
  <c r="A9" i="14"/>
  <c r="O9" i="14"/>
  <c r="Q9" i="14"/>
  <c r="A10" i="14"/>
  <c r="O10" i="14"/>
  <c r="Q10" i="14"/>
  <c r="A11" i="14"/>
  <c r="O11" i="14"/>
  <c r="Q11" i="14"/>
  <c r="A12" i="14"/>
  <c r="O12" i="14"/>
  <c r="Q12" i="14"/>
  <c r="A13" i="14"/>
  <c r="O13" i="14"/>
  <c r="Q13" i="14"/>
  <c r="A14" i="14"/>
  <c r="O14" i="14"/>
  <c r="Q14" i="14"/>
  <c r="A15" i="14"/>
  <c r="O15" i="14"/>
  <c r="Q15" i="14"/>
  <c r="A16" i="14"/>
  <c r="O16" i="14"/>
  <c r="Q16" i="14"/>
  <c r="A17" i="14"/>
  <c r="O17" i="14"/>
  <c r="Q17" i="14"/>
  <c r="A18" i="14"/>
  <c r="O18" i="14"/>
  <c r="Q18" i="14"/>
  <c r="A19" i="14"/>
  <c r="O19" i="14"/>
  <c r="Q19" i="14"/>
  <c r="A20" i="14"/>
  <c r="O20" i="14"/>
  <c r="Q20" i="14"/>
  <c r="A21" i="14"/>
  <c r="O21" i="14"/>
  <c r="Q21" i="14"/>
  <c r="A22" i="14"/>
  <c r="O22" i="14"/>
  <c r="Q22" i="14"/>
  <c r="A23" i="14"/>
  <c r="O23" i="14"/>
  <c r="Q23" i="14"/>
  <c r="A24" i="14"/>
  <c r="A25" i="14"/>
  <c r="A26" i="14"/>
  <c r="A27" i="14"/>
  <c r="O27" i="14"/>
  <c r="U27" i="14" s="1"/>
  <c r="Q27" i="14"/>
  <c r="W27" i="14" s="1"/>
  <c r="E28" i="14"/>
  <c r="X28" i="14"/>
  <c r="A29" i="14"/>
  <c r="O29" i="14"/>
  <c r="Q29" i="14"/>
  <c r="X48" i="14"/>
  <c r="X47" i="14"/>
  <c r="X46" i="14"/>
  <c r="X45" i="14"/>
  <c r="X44" i="14"/>
  <c r="X43" i="14"/>
  <c r="X42" i="14"/>
  <c r="X41" i="14"/>
  <c r="X40" i="14"/>
  <c r="X39" i="14"/>
  <c r="X38" i="14"/>
  <c r="X37" i="14"/>
  <c r="X36" i="14"/>
  <c r="X35" i="14"/>
  <c r="X34" i="14"/>
  <c r="X33" i="14"/>
  <c r="X32" i="14"/>
  <c r="X31" i="14"/>
  <c r="X30" i="14"/>
  <c r="X29" i="14"/>
  <c r="A30" i="14"/>
  <c r="O30" i="14"/>
  <c r="Q30" i="14"/>
  <c r="A31" i="14"/>
  <c r="O31" i="14"/>
  <c r="Q31" i="14"/>
  <c r="A32" i="14"/>
  <c r="O32" i="14"/>
  <c r="Q32" i="14"/>
  <c r="A33" i="14"/>
  <c r="O33" i="14"/>
  <c r="Q33" i="14"/>
  <c r="A34" i="14"/>
  <c r="O34" i="14"/>
  <c r="Q34" i="14"/>
  <c r="A35" i="14"/>
  <c r="O35" i="14"/>
  <c r="Q35" i="14"/>
  <c r="A36" i="14"/>
  <c r="O36" i="14"/>
  <c r="Q36" i="14"/>
  <c r="A37" i="14"/>
  <c r="O37" i="14"/>
  <c r="Q37" i="14"/>
  <c r="A38" i="14"/>
  <c r="O38" i="14"/>
  <c r="Q38" i="14"/>
  <c r="A39" i="14"/>
  <c r="O39" i="14"/>
  <c r="Q39" i="14"/>
  <c r="A40" i="14"/>
  <c r="O40" i="14"/>
  <c r="Q40" i="14"/>
  <c r="A41" i="14"/>
  <c r="O41" i="14"/>
  <c r="Q41" i="14"/>
  <c r="A42" i="14"/>
  <c r="O42" i="14"/>
  <c r="Q42" i="14"/>
  <c r="A43" i="14"/>
  <c r="O43" i="14"/>
  <c r="Q43" i="14"/>
  <c r="A44" i="14"/>
  <c r="O44" i="14"/>
  <c r="Q44" i="14"/>
  <c r="A45" i="14"/>
  <c r="A46" i="14"/>
  <c r="A47" i="14"/>
  <c r="A48" i="14"/>
  <c r="O48" i="14"/>
  <c r="U48" i="14" s="1"/>
  <c r="Q48" i="14"/>
  <c r="W48" i="14" s="1"/>
  <c r="E49" i="14"/>
  <c r="X49" i="14"/>
  <c r="A50" i="14"/>
  <c r="O50" i="14"/>
  <c r="Q50" i="14"/>
  <c r="X69" i="14"/>
  <c r="X68" i="14"/>
  <c r="X67" i="14"/>
  <c r="X66" i="14"/>
  <c r="X65" i="14"/>
  <c r="X64" i="14"/>
  <c r="X63" i="14"/>
  <c r="X62" i="14"/>
  <c r="X61" i="14"/>
  <c r="X60" i="14"/>
  <c r="X59" i="14"/>
  <c r="X58" i="14"/>
  <c r="X57" i="14"/>
  <c r="X56" i="14"/>
  <c r="X55" i="14"/>
  <c r="X54" i="14"/>
  <c r="X53" i="14"/>
  <c r="X52" i="14"/>
  <c r="X51" i="14"/>
  <c r="X50" i="14"/>
  <c r="A51" i="14"/>
  <c r="O51" i="14"/>
  <c r="Q51" i="14"/>
  <c r="A52" i="14"/>
  <c r="O52" i="14"/>
  <c r="Q52" i="14"/>
  <c r="A53" i="14"/>
  <c r="O53" i="14"/>
  <c r="Q53" i="14"/>
  <c r="A54" i="14"/>
  <c r="O54" i="14"/>
  <c r="Q54" i="14"/>
  <c r="A55" i="14"/>
  <c r="O55" i="14"/>
  <c r="Q55" i="14"/>
  <c r="A56" i="14"/>
  <c r="O56" i="14"/>
  <c r="Q56" i="14"/>
  <c r="A57" i="14"/>
  <c r="O57" i="14"/>
  <c r="Q57" i="14"/>
  <c r="A58" i="14"/>
  <c r="O58" i="14"/>
  <c r="Q58" i="14"/>
  <c r="A59" i="14"/>
  <c r="O59" i="14"/>
  <c r="Q59" i="14"/>
  <c r="A60" i="14"/>
  <c r="O60" i="14"/>
  <c r="Q60" i="14"/>
  <c r="A61" i="14"/>
  <c r="O61" i="14"/>
  <c r="Q61" i="14"/>
  <c r="A62" i="14"/>
  <c r="O62" i="14"/>
  <c r="Q62" i="14"/>
  <c r="A63" i="14"/>
  <c r="O63" i="14"/>
  <c r="Q63" i="14"/>
  <c r="A64" i="14"/>
  <c r="O64" i="14"/>
  <c r="Q64" i="14"/>
  <c r="A65" i="14"/>
  <c r="O65" i="14"/>
  <c r="Q65" i="14"/>
  <c r="A66" i="14"/>
  <c r="A67" i="14"/>
  <c r="A68" i="14"/>
  <c r="A69" i="14"/>
  <c r="O69" i="14"/>
  <c r="U69" i="14" s="1"/>
  <c r="Q69" i="14"/>
  <c r="W69" i="14" s="1"/>
  <c r="E70" i="14"/>
  <c r="X70" i="14"/>
  <c r="A71" i="14"/>
  <c r="O71" i="14"/>
  <c r="Q71" i="14"/>
  <c r="X90" i="14"/>
  <c r="X89" i="14"/>
  <c r="X88" i="14"/>
  <c r="X87" i="14"/>
  <c r="X86" i="14"/>
  <c r="X85" i="14"/>
  <c r="X84" i="14"/>
  <c r="X83" i="14"/>
  <c r="X82" i="14"/>
  <c r="X81" i="14"/>
  <c r="X80" i="14"/>
  <c r="X79" i="14"/>
  <c r="X78" i="14"/>
  <c r="X77" i="14"/>
  <c r="X76" i="14"/>
  <c r="X75" i="14"/>
  <c r="X74" i="14"/>
  <c r="X73" i="14"/>
  <c r="X72" i="14"/>
  <c r="X71" i="14"/>
  <c r="A72" i="14"/>
  <c r="O72" i="14"/>
  <c r="Q72" i="14"/>
  <c r="A73" i="14"/>
  <c r="O73" i="14"/>
  <c r="Q73" i="14"/>
  <c r="A74" i="14"/>
  <c r="O74" i="14"/>
  <c r="Q74" i="14"/>
  <c r="A75" i="14"/>
  <c r="O75" i="14"/>
  <c r="Q75" i="14"/>
  <c r="A76" i="14"/>
  <c r="O76" i="14"/>
  <c r="Q76" i="14"/>
  <c r="A77" i="14"/>
  <c r="O77" i="14"/>
  <c r="Q77" i="14"/>
  <c r="A78" i="14"/>
  <c r="O78" i="14"/>
  <c r="Q78" i="14"/>
  <c r="A79" i="14"/>
  <c r="O79" i="14"/>
  <c r="Q79" i="14"/>
  <c r="A80" i="14"/>
  <c r="O80" i="14"/>
  <c r="Q80" i="14"/>
  <c r="A81" i="14"/>
  <c r="O81" i="14"/>
  <c r="Q81" i="14"/>
  <c r="A82" i="14"/>
  <c r="O82" i="14"/>
  <c r="Q82" i="14"/>
  <c r="A83" i="14"/>
  <c r="O83" i="14"/>
  <c r="Q83" i="14"/>
  <c r="A84" i="14"/>
  <c r="O84" i="14"/>
  <c r="Q84" i="14"/>
  <c r="A85" i="14"/>
  <c r="O85" i="14"/>
  <c r="Q85" i="14"/>
  <c r="A86" i="14"/>
  <c r="O86" i="14"/>
  <c r="Q86" i="14"/>
  <c r="A87" i="14"/>
  <c r="A88" i="14"/>
  <c r="A89" i="14"/>
  <c r="A90" i="14"/>
  <c r="O90" i="14"/>
  <c r="U90" i="14" s="1"/>
  <c r="Q90" i="14"/>
  <c r="W90" i="14" s="1"/>
  <c r="E91" i="14"/>
  <c r="X91" i="14"/>
  <c r="A92" i="14"/>
  <c r="O92" i="14"/>
  <c r="Q92" i="14"/>
  <c r="X111" i="14"/>
  <c r="X110" i="14"/>
  <c r="X109" i="14"/>
  <c r="X108" i="14"/>
  <c r="X107" i="14"/>
  <c r="X106" i="14"/>
  <c r="X105" i="14"/>
  <c r="X104" i="14"/>
  <c r="X103" i="14"/>
  <c r="X102" i="14"/>
  <c r="X101" i="14"/>
  <c r="X100" i="14"/>
  <c r="X99" i="14"/>
  <c r="X98" i="14"/>
  <c r="X97" i="14"/>
  <c r="X96" i="14"/>
  <c r="X95" i="14"/>
  <c r="X94" i="14"/>
  <c r="X93" i="14"/>
  <c r="X92" i="14"/>
  <c r="A93" i="14"/>
  <c r="O93" i="14"/>
  <c r="Q93" i="14"/>
  <c r="A94" i="14"/>
  <c r="O94" i="14"/>
  <c r="Q94" i="14"/>
  <c r="A95" i="14"/>
  <c r="O95" i="14"/>
  <c r="Q95" i="14"/>
  <c r="A96" i="14"/>
  <c r="O96" i="14"/>
  <c r="Q96" i="14"/>
  <c r="A97" i="14"/>
  <c r="O97" i="14"/>
  <c r="Q97" i="14"/>
  <c r="A98" i="14"/>
  <c r="O98" i="14"/>
  <c r="Q98" i="14"/>
  <c r="A99" i="14"/>
  <c r="O99" i="14"/>
  <c r="Q99" i="14"/>
  <c r="A100" i="14"/>
  <c r="O100" i="14"/>
  <c r="Q100" i="14"/>
  <c r="A101" i="14"/>
  <c r="O101" i="14"/>
  <c r="Q101" i="14"/>
  <c r="A102" i="14"/>
  <c r="O102" i="14"/>
  <c r="Q102" i="14"/>
  <c r="A103" i="14"/>
  <c r="O103" i="14"/>
  <c r="Q103" i="14"/>
  <c r="A104" i="14"/>
  <c r="O104" i="14"/>
  <c r="Q104" i="14"/>
  <c r="A105" i="14"/>
  <c r="O105" i="14"/>
  <c r="Q105" i="14"/>
  <c r="A106" i="14"/>
  <c r="O106" i="14"/>
  <c r="Q106" i="14"/>
  <c r="A107" i="14"/>
  <c r="O107" i="14"/>
  <c r="Q107" i="14"/>
  <c r="A108" i="14"/>
  <c r="A109" i="14"/>
  <c r="A110" i="14"/>
  <c r="A111" i="14"/>
  <c r="O111" i="14"/>
  <c r="U111" i="14" s="1"/>
  <c r="Q111" i="14"/>
  <c r="W111" i="14" s="1"/>
  <c r="E112" i="14"/>
  <c r="X112" i="14"/>
  <c r="A113" i="14"/>
  <c r="O113" i="14"/>
  <c r="Q113" i="14"/>
  <c r="X132" i="14"/>
  <c r="X131" i="14"/>
  <c r="X130" i="14"/>
  <c r="X129" i="14"/>
  <c r="X128" i="14"/>
  <c r="X127" i="14"/>
  <c r="X126" i="14"/>
  <c r="X125" i="14"/>
  <c r="X124" i="14"/>
  <c r="X123" i="14"/>
  <c r="X122" i="14"/>
  <c r="X121" i="14"/>
  <c r="X120" i="14"/>
  <c r="X119" i="14"/>
  <c r="X118" i="14"/>
  <c r="X117" i="14"/>
  <c r="X116" i="14"/>
  <c r="X115" i="14"/>
  <c r="X114" i="14"/>
  <c r="X113" i="14"/>
  <c r="A114" i="14"/>
  <c r="O114" i="14"/>
  <c r="Q114" i="14"/>
  <c r="A115" i="14"/>
  <c r="O115" i="14"/>
  <c r="Q115" i="14"/>
  <c r="A116" i="14"/>
  <c r="O116" i="14"/>
  <c r="Q116" i="14"/>
  <c r="A117" i="14"/>
  <c r="O117" i="14"/>
  <c r="Q117" i="14"/>
  <c r="A118" i="14"/>
  <c r="O118" i="14"/>
  <c r="Q118" i="14"/>
  <c r="A119" i="14"/>
  <c r="O119" i="14"/>
  <c r="Q119" i="14"/>
  <c r="A120" i="14"/>
  <c r="O120" i="14"/>
  <c r="Q120" i="14"/>
  <c r="A121" i="14"/>
  <c r="O121" i="14"/>
  <c r="Q121" i="14"/>
  <c r="A122" i="14"/>
  <c r="O122" i="14"/>
  <c r="Q122" i="14"/>
  <c r="A123" i="14"/>
  <c r="O123" i="14"/>
  <c r="Q123" i="14"/>
  <c r="A124" i="14"/>
  <c r="O124" i="14"/>
  <c r="Q124" i="14"/>
  <c r="A125" i="14"/>
  <c r="O125" i="14"/>
  <c r="Q125" i="14"/>
  <c r="A126" i="14"/>
  <c r="O126" i="14"/>
  <c r="Q126" i="14"/>
  <c r="A127" i="14"/>
  <c r="O127" i="14"/>
  <c r="Q127" i="14"/>
  <c r="A128" i="14"/>
  <c r="O128" i="14"/>
  <c r="Q128" i="14"/>
  <c r="A129" i="14"/>
  <c r="A130" i="14"/>
  <c r="A131" i="14"/>
  <c r="A132" i="14"/>
  <c r="O132" i="14"/>
  <c r="U132" i="14" s="1"/>
  <c r="Q132" i="14"/>
  <c r="W132" i="14" s="1"/>
  <c r="E133" i="14"/>
  <c r="X133" i="14"/>
  <c r="A134" i="14"/>
  <c r="O134" i="14"/>
  <c r="Q134" i="14"/>
  <c r="X153" i="14"/>
  <c r="X152" i="14"/>
  <c r="X151" i="14"/>
  <c r="X150" i="14"/>
  <c r="X149" i="14"/>
  <c r="X148" i="14"/>
  <c r="X147" i="14"/>
  <c r="X146" i="14"/>
  <c r="X145" i="14"/>
  <c r="X144" i="14"/>
  <c r="X143" i="14"/>
  <c r="X142" i="14"/>
  <c r="X141" i="14"/>
  <c r="X140" i="14"/>
  <c r="X139" i="14"/>
  <c r="X138" i="14"/>
  <c r="X137" i="14"/>
  <c r="X136" i="14"/>
  <c r="X135" i="14"/>
  <c r="X134" i="14"/>
  <c r="A135" i="14"/>
  <c r="O135" i="14"/>
  <c r="Q135" i="14"/>
  <c r="A136" i="14"/>
  <c r="O136" i="14"/>
  <c r="Q136" i="14"/>
  <c r="A137" i="14"/>
  <c r="O137" i="14"/>
  <c r="Q137" i="14"/>
  <c r="A138" i="14"/>
  <c r="O138" i="14"/>
  <c r="Q138" i="14"/>
  <c r="A139" i="14"/>
  <c r="O139" i="14"/>
  <c r="Q139" i="14"/>
  <c r="A140" i="14"/>
  <c r="O140" i="14"/>
  <c r="Q140" i="14"/>
  <c r="A141" i="14"/>
  <c r="O141" i="14"/>
  <c r="Q141" i="14"/>
  <c r="A142" i="14"/>
  <c r="O142" i="14"/>
  <c r="Q142" i="14"/>
  <c r="A143" i="14"/>
  <c r="O143" i="14"/>
  <c r="Q143" i="14"/>
  <c r="A144" i="14"/>
  <c r="O144" i="14"/>
  <c r="Q144" i="14"/>
  <c r="A145" i="14"/>
  <c r="O145" i="14"/>
  <c r="Q145" i="14"/>
  <c r="A146" i="14"/>
  <c r="O146" i="14"/>
  <c r="Q146" i="14"/>
  <c r="A147" i="14"/>
  <c r="O147" i="14"/>
  <c r="Q147" i="14"/>
  <c r="A148" i="14"/>
  <c r="O148" i="14"/>
  <c r="Q148" i="14"/>
  <c r="A149" i="14"/>
  <c r="O149" i="14"/>
  <c r="Q149" i="14"/>
  <c r="A150" i="14"/>
  <c r="A151" i="14"/>
  <c r="A152" i="14"/>
  <c r="A153" i="14"/>
  <c r="O153" i="14"/>
  <c r="U153" i="14" s="1"/>
  <c r="Q153" i="14"/>
  <c r="W153" i="14" s="1"/>
  <c r="E154" i="14"/>
  <c r="X154" i="14"/>
  <c r="A155" i="14"/>
  <c r="O155" i="14"/>
  <c r="Q155" i="14"/>
  <c r="X174" i="14"/>
  <c r="X173" i="14"/>
  <c r="X172" i="14"/>
  <c r="X171" i="14"/>
  <c r="X170" i="14"/>
  <c r="X169" i="14"/>
  <c r="X168" i="14"/>
  <c r="X167" i="14"/>
  <c r="X166" i="14"/>
  <c r="X165" i="14"/>
  <c r="X164" i="14"/>
  <c r="X163" i="14"/>
  <c r="X162" i="14"/>
  <c r="X161" i="14"/>
  <c r="X160" i="14"/>
  <c r="X159" i="14"/>
  <c r="X158" i="14"/>
  <c r="X157" i="14"/>
  <c r="X156" i="14"/>
  <c r="X155" i="14"/>
  <c r="A156" i="14"/>
  <c r="O156" i="14"/>
  <c r="Q156" i="14"/>
  <c r="A157" i="14"/>
  <c r="O157" i="14"/>
  <c r="Q157" i="14"/>
  <c r="A158" i="14"/>
  <c r="O158" i="14"/>
  <c r="Q158" i="14"/>
  <c r="A159" i="14"/>
  <c r="O159" i="14"/>
  <c r="Q159" i="14"/>
  <c r="A160" i="14"/>
  <c r="O160" i="14"/>
  <c r="Q160" i="14"/>
  <c r="A161" i="14"/>
  <c r="O161" i="14"/>
  <c r="Q161" i="14"/>
  <c r="A162" i="14"/>
  <c r="O162" i="14"/>
  <c r="Q162" i="14"/>
  <c r="A163" i="14"/>
  <c r="O163" i="14"/>
  <c r="Q163" i="14"/>
  <c r="A164" i="14"/>
  <c r="O164" i="14"/>
  <c r="Q164" i="14"/>
  <c r="A165" i="14"/>
  <c r="O165" i="14"/>
  <c r="Q165" i="14"/>
  <c r="A166" i="14"/>
  <c r="O166" i="14"/>
  <c r="Q166" i="14"/>
  <c r="A167" i="14"/>
  <c r="O167" i="14"/>
  <c r="Q167" i="14"/>
  <c r="A168" i="14"/>
  <c r="O168" i="14"/>
  <c r="Q168" i="14"/>
  <c r="A169" i="14"/>
  <c r="O169" i="14"/>
  <c r="Q169" i="14"/>
  <c r="A170" i="14"/>
  <c r="O170" i="14"/>
  <c r="Q170" i="14"/>
  <c r="A171" i="14"/>
  <c r="A172" i="14"/>
  <c r="A173" i="14"/>
  <c r="A174" i="14"/>
  <c r="O174" i="14"/>
  <c r="U174" i="14" s="1"/>
  <c r="Q174" i="14"/>
  <c r="W174" i="14" s="1"/>
  <c r="E175" i="14"/>
  <c r="X175" i="14"/>
  <c r="A176" i="14"/>
  <c r="O176" i="14"/>
  <c r="Q176" i="14"/>
  <c r="X195" i="14"/>
  <c r="X194" i="14"/>
  <c r="X193" i="14"/>
  <c r="X192" i="14"/>
  <c r="X191" i="14"/>
  <c r="X190" i="14"/>
  <c r="X189" i="14"/>
  <c r="X188" i="14"/>
  <c r="X187" i="14"/>
  <c r="X186" i="14"/>
  <c r="X185" i="14"/>
  <c r="X184" i="14"/>
  <c r="X183" i="14"/>
  <c r="X182" i="14"/>
  <c r="X181" i="14"/>
  <c r="X180" i="14"/>
  <c r="X179" i="14"/>
  <c r="X178" i="14"/>
  <c r="X177" i="14"/>
  <c r="X176" i="14"/>
  <c r="A177" i="14"/>
  <c r="O177" i="14"/>
  <c r="Q177" i="14"/>
  <c r="A178" i="14"/>
  <c r="O178" i="14"/>
  <c r="Q178" i="14"/>
  <c r="A179" i="14"/>
  <c r="O179" i="14"/>
  <c r="Q179" i="14"/>
  <c r="A180" i="14"/>
  <c r="O180" i="14"/>
  <c r="Q180" i="14"/>
  <c r="A181" i="14"/>
  <c r="O181" i="14"/>
  <c r="Q181" i="14"/>
  <c r="A182" i="14"/>
  <c r="O182" i="14"/>
  <c r="Q182" i="14"/>
  <c r="A183" i="14"/>
  <c r="O183" i="14"/>
  <c r="Q183" i="14"/>
  <c r="A184" i="14"/>
  <c r="O184" i="14"/>
  <c r="Q184" i="14"/>
  <c r="A185" i="14"/>
  <c r="O185" i="14"/>
  <c r="Q185" i="14"/>
  <c r="A186" i="14"/>
  <c r="O186" i="14"/>
  <c r="Q186" i="14"/>
  <c r="A187" i="14"/>
  <c r="O187" i="14"/>
  <c r="Q187" i="14"/>
  <c r="A188" i="14"/>
  <c r="O188" i="14"/>
  <c r="Q188" i="14"/>
  <c r="A189" i="14"/>
  <c r="O189" i="14"/>
  <c r="Q189" i="14"/>
  <c r="A190" i="14"/>
  <c r="O190" i="14"/>
  <c r="Q190" i="14"/>
  <c r="A191" i="14"/>
  <c r="O191" i="14"/>
  <c r="Q191" i="14"/>
  <c r="A192" i="14"/>
  <c r="A193" i="14"/>
  <c r="A194" i="14"/>
  <c r="A195" i="14"/>
  <c r="O195" i="14"/>
  <c r="U195" i="14" s="1"/>
  <c r="Q195" i="14"/>
  <c r="W195" i="14" s="1"/>
  <c r="E196" i="14"/>
  <c r="X196" i="14"/>
  <c r="A197" i="14"/>
  <c r="O197" i="14"/>
  <c r="Q197" i="14"/>
  <c r="X216" i="14"/>
  <c r="X215" i="14"/>
  <c r="X214" i="14"/>
  <c r="X213" i="14"/>
  <c r="X212" i="14"/>
  <c r="X211" i="14"/>
  <c r="X210" i="14"/>
  <c r="X209" i="14"/>
  <c r="X208" i="14"/>
  <c r="X207" i="14"/>
  <c r="X206" i="14"/>
  <c r="X205" i="14"/>
  <c r="X204" i="14"/>
  <c r="X203" i="14"/>
  <c r="X202" i="14"/>
  <c r="X201" i="14"/>
  <c r="X200" i="14"/>
  <c r="X199" i="14"/>
  <c r="X198" i="14"/>
  <c r="X197" i="14"/>
  <c r="A198" i="14"/>
  <c r="O198" i="14"/>
  <c r="Q198" i="14"/>
  <c r="A199" i="14"/>
  <c r="O199" i="14"/>
  <c r="Q199" i="14"/>
  <c r="A200" i="14"/>
  <c r="O200" i="14"/>
  <c r="Q200" i="14"/>
  <c r="A201" i="14"/>
  <c r="O201" i="14"/>
  <c r="Q201" i="14"/>
  <c r="A202" i="14"/>
  <c r="O202" i="14"/>
  <c r="Q202" i="14"/>
  <c r="A203" i="14"/>
  <c r="O203" i="14"/>
  <c r="Q203" i="14"/>
  <c r="A204" i="14"/>
  <c r="O204" i="14"/>
  <c r="Q204" i="14"/>
  <c r="A205" i="14"/>
  <c r="O205" i="14"/>
  <c r="Q205" i="14"/>
  <c r="A206" i="14"/>
  <c r="O206" i="14"/>
  <c r="Q206" i="14"/>
  <c r="A207" i="14"/>
  <c r="O207" i="14"/>
  <c r="Q207" i="14"/>
  <c r="A208" i="14"/>
  <c r="O208" i="14"/>
  <c r="Q208" i="14"/>
  <c r="A209" i="14"/>
  <c r="O209" i="14"/>
  <c r="Q209" i="14"/>
  <c r="A210" i="14"/>
  <c r="O210" i="14"/>
  <c r="Q210" i="14"/>
  <c r="A211" i="14"/>
  <c r="O211" i="14"/>
  <c r="Q211" i="14"/>
  <c r="A212" i="14"/>
  <c r="O212" i="14"/>
  <c r="Q212" i="14"/>
  <c r="A213" i="14"/>
  <c r="A214" i="14"/>
  <c r="A215" i="14"/>
  <c r="A216" i="14"/>
  <c r="O216" i="14"/>
  <c r="U216" i="14" s="1"/>
  <c r="Q216" i="14"/>
  <c r="W216" i="14" s="1"/>
  <c r="E217" i="14"/>
  <c r="X217" i="14"/>
  <c r="A218" i="14"/>
  <c r="O218" i="14"/>
  <c r="Q218" i="14"/>
  <c r="X237" i="14"/>
  <c r="X236" i="14"/>
  <c r="X235" i="14"/>
  <c r="X234" i="14"/>
  <c r="X233" i="14"/>
  <c r="X232" i="14"/>
  <c r="X231" i="14"/>
  <c r="X230" i="14"/>
  <c r="X229" i="14"/>
  <c r="X228" i="14"/>
  <c r="X227" i="14"/>
  <c r="X226" i="14"/>
  <c r="X225" i="14"/>
  <c r="X224" i="14"/>
  <c r="X223" i="14"/>
  <c r="X222" i="14"/>
  <c r="X221" i="14"/>
  <c r="X220" i="14"/>
  <c r="X219" i="14"/>
  <c r="X218" i="14"/>
  <c r="A219" i="14"/>
  <c r="O219" i="14"/>
  <c r="Q219" i="14"/>
  <c r="A220" i="14"/>
  <c r="O220" i="14"/>
  <c r="Q220" i="14"/>
  <c r="A221" i="14"/>
  <c r="O221" i="14"/>
  <c r="Q221" i="14"/>
  <c r="A222" i="14"/>
  <c r="O222" i="14"/>
  <c r="Q222" i="14"/>
  <c r="A223" i="14"/>
  <c r="O223" i="14"/>
  <c r="Q223" i="14"/>
  <c r="A224" i="14"/>
  <c r="O224" i="14"/>
  <c r="Q224" i="14"/>
  <c r="A225" i="14"/>
  <c r="O225" i="14"/>
  <c r="Q225" i="14"/>
  <c r="A226" i="14"/>
  <c r="O226" i="14"/>
  <c r="Q226" i="14"/>
  <c r="A227" i="14"/>
  <c r="O227" i="14"/>
  <c r="Q227" i="14"/>
  <c r="A228" i="14"/>
  <c r="O228" i="14"/>
  <c r="Q228" i="14"/>
  <c r="A229" i="14"/>
  <c r="O229" i="14"/>
  <c r="Q229" i="14"/>
  <c r="A230" i="14"/>
  <c r="O230" i="14"/>
  <c r="Q230" i="14"/>
  <c r="A231" i="14"/>
  <c r="O231" i="14"/>
  <c r="Q231" i="14"/>
  <c r="A232" i="14"/>
  <c r="O232" i="14"/>
  <c r="Q232" i="14"/>
  <c r="A233" i="14"/>
  <c r="O233" i="14"/>
  <c r="Q233" i="14"/>
  <c r="A234" i="14"/>
  <c r="A235" i="14"/>
  <c r="A236" i="14"/>
  <c r="A237" i="14"/>
  <c r="O237" i="14"/>
  <c r="U237" i="14" s="1"/>
  <c r="Q237" i="14"/>
  <c r="W237" i="14" s="1"/>
  <c r="E238" i="14"/>
  <c r="X238" i="14"/>
  <c r="A239" i="14"/>
  <c r="O239" i="14"/>
  <c r="Q239" i="14"/>
  <c r="X258" i="14"/>
  <c r="X257" i="14"/>
  <c r="X256" i="14"/>
  <c r="X255" i="14"/>
  <c r="X254" i="14"/>
  <c r="X253" i="14"/>
  <c r="X252" i="14"/>
  <c r="X251" i="14"/>
  <c r="X250" i="14"/>
  <c r="X249" i="14"/>
  <c r="X248" i="14"/>
  <c r="X247" i="14"/>
  <c r="X246" i="14"/>
  <c r="X245" i="14"/>
  <c r="X244" i="14"/>
  <c r="X243" i="14"/>
  <c r="X242" i="14"/>
  <c r="X241" i="14"/>
  <c r="X240" i="14"/>
  <c r="X239" i="14"/>
  <c r="A240" i="14"/>
  <c r="O240" i="14"/>
  <c r="Q240" i="14"/>
  <c r="A241" i="14"/>
  <c r="O241" i="14"/>
  <c r="Q241" i="14"/>
  <c r="A242" i="14"/>
  <c r="O242" i="14"/>
  <c r="Q242" i="14"/>
  <c r="A243" i="14"/>
  <c r="O243" i="14"/>
  <c r="Q243" i="14"/>
  <c r="A244" i="14"/>
  <c r="O244" i="14"/>
  <c r="Q244" i="14"/>
  <c r="A245" i="14"/>
  <c r="O245" i="14"/>
  <c r="Q245" i="14"/>
  <c r="A246" i="14"/>
  <c r="O246" i="14"/>
  <c r="Q246" i="14"/>
  <c r="A247" i="14"/>
  <c r="O247" i="14"/>
  <c r="Q247" i="14"/>
  <c r="A248" i="14"/>
  <c r="O248" i="14"/>
  <c r="Q248" i="14"/>
  <c r="A249" i="14"/>
  <c r="O249" i="14"/>
  <c r="Q249" i="14"/>
  <c r="A250" i="14"/>
  <c r="O250" i="14"/>
  <c r="Q250" i="14"/>
  <c r="A251" i="14"/>
  <c r="O251" i="14"/>
  <c r="Q251" i="14"/>
  <c r="A252" i="14"/>
  <c r="O252" i="14"/>
  <c r="Q252" i="14"/>
  <c r="A253" i="14"/>
  <c r="O253" i="14"/>
  <c r="Q253" i="14"/>
  <c r="A254" i="14"/>
  <c r="O254" i="14"/>
  <c r="Q254" i="14"/>
  <c r="A255" i="14"/>
  <c r="A256" i="14"/>
  <c r="A257" i="14"/>
  <c r="A258" i="14"/>
  <c r="O258" i="14"/>
  <c r="U258" i="14" s="1"/>
  <c r="Q258" i="14"/>
  <c r="W258" i="14" s="1"/>
  <c r="E259" i="14"/>
  <c r="X259" i="14"/>
  <c r="A260" i="14"/>
  <c r="O260" i="14"/>
  <c r="Q260" i="14"/>
  <c r="X279" i="14"/>
  <c r="X278" i="14"/>
  <c r="X277" i="14"/>
  <c r="X276" i="14"/>
  <c r="X275" i="14"/>
  <c r="X274" i="14"/>
  <c r="X273" i="14"/>
  <c r="X272" i="14"/>
  <c r="X271" i="14"/>
  <c r="X270" i="14"/>
  <c r="X269" i="14"/>
  <c r="X268" i="14"/>
  <c r="X267" i="14"/>
  <c r="X266" i="14"/>
  <c r="X265" i="14"/>
  <c r="X264" i="14"/>
  <c r="X263" i="14"/>
  <c r="X262" i="14"/>
  <c r="X261" i="14"/>
  <c r="X260" i="14"/>
  <c r="A261" i="14"/>
  <c r="O261" i="14"/>
  <c r="Q261" i="14"/>
  <c r="A262" i="14"/>
  <c r="O262" i="14"/>
  <c r="Q262" i="14"/>
  <c r="A263" i="14"/>
  <c r="O263" i="14"/>
  <c r="Q263" i="14"/>
  <c r="A264" i="14"/>
  <c r="O264" i="14"/>
  <c r="Q264" i="14"/>
  <c r="A265" i="14"/>
  <c r="O265" i="14"/>
  <c r="Q265" i="14"/>
  <c r="A266" i="14"/>
  <c r="O266" i="14"/>
  <c r="Q266" i="14"/>
  <c r="A267" i="14"/>
  <c r="O267" i="14"/>
  <c r="Q267" i="14"/>
  <c r="A268" i="14"/>
  <c r="O268" i="14"/>
  <c r="Q268" i="14"/>
  <c r="A269" i="14"/>
  <c r="O269" i="14"/>
  <c r="Q269" i="14"/>
  <c r="A270" i="14"/>
  <c r="O270" i="14"/>
  <c r="Q270" i="14"/>
  <c r="A271" i="14"/>
  <c r="O271" i="14"/>
  <c r="Q271" i="14"/>
  <c r="A272" i="14"/>
  <c r="O272" i="14"/>
  <c r="Q272" i="14"/>
  <c r="A273" i="14"/>
  <c r="O273" i="14"/>
  <c r="Q273" i="14"/>
  <c r="A274" i="14"/>
  <c r="O274" i="14"/>
  <c r="Q274" i="14"/>
  <c r="A275" i="14"/>
  <c r="O275" i="14"/>
  <c r="Q275" i="14"/>
  <c r="A276" i="14"/>
  <c r="A277" i="14"/>
  <c r="A278" i="14"/>
  <c r="A279" i="14"/>
  <c r="O279" i="14"/>
  <c r="U279" i="14" s="1"/>
  <c r="Q279" i="14"/>
  <c r="W279" i="14" s="1"/>
  <c r="E280" i="14"/>
  <c r="X280" i="14"/>
  <c r="A281" i="14"/>
  <c r="O281" i="14"/>
  <c r="Q281" i="14"/>
  <c r="X300" i="14"/>
  <c r="X299" i="14"/>
  <c r="X298" i="14"/>
  <c r="X297" i="14"/>
  <c r="X296" i="14"/>
  <c r="X295" i="14"/>
  <c r="X294" i="14"/>
  <c r="X293" i="14"/>
  <c r="X292" i="14"/>
  <c r="X291" i="14"/>
  <c r="X290" i="14"/>
  <c r="X289" i="14"/>
  <c r="X288" i="14"/>
  <c r="X287" i="14"/>
  <c r="X286" i="14"/>
  <c r="X285" i="14"/>
  <c r="X284" i="14"/>
  <c r="X283" i="14"/>
  <c r="X282" i="14"/>
  <c r="X281" i="14"/>
  <c r="A282" i="14"/>
  <c r="O282" i="14"/>
  <c r="Q282" i="14"/>
  <c r="A283" i="14"/>
  <c r="O283" i="14"/>
  <c r="Q283" i="14"/>
  <c r="A284" i="14"/>
  <c r="O284" i="14"/>
  <c r="Q284" i="14"/>
  <c r="A285" i="14"/>
  <c r="O285" i="14"/>
  <c r="Q285" i="14"/>
  <c r="A286" i="14"/>
  <c r="O286" i="14"/>
  <c r="Q286" i="14"/>
  <c r="A287" i="14"/>
  <c r="O287" i="14"/>
  <c r="Q287" i="14"/>
  <c r="A288" i="14"/>
  <c r="O288" i="14"/>
  <c r="Q288" i="14"/>
  <c r="A289" i="14"/>
  <c r="O289" i="14"/>
  <c r="Q289" i="14"/>
  <c r="A290" i="14"/>
  <c r="O290" i="14"/>
  <c r="Q290" i="14"/>
  <c r="A291" i="14"/>
  <c r="O291" i="14"/>
  <c r="Q291" i="14"/>
  <c r="A292" i="14"/>
  <c r="O292" i="14"/>
  <c r="Q292" i="14"/>
  <c r="A293" i="14"/>
  <c r="O293" i="14"/>
  <c r="Q293" i="14"/>
  <c r="A294" i="14"/>
  <c r="O294" i="14"/>
  <c r="Q294" i="14"/>
  <c r="A295" i="14"/>
  <c r="O295" i="14"/>
  <c r="Q295" i="14"/>
  <c r="A296" i="14"/>
  <c r="O296" i="14"/>
  <c r="Q296" i="14"/>
  <c r="A297" i="14"/>
  <c r="A298" i="14"/>
  <c r="A299" i="14"/>
  <c r="A300" i="14"/>
  <c r="O300" i="14"/>
  <c r="U300" i="14" s="1"/>
  <c r="Q300" i="14"/>
  <c r="W300" i="14" s="1"/>
  <c r="E301" i="14"/>
  <c r="X301" i="14"/>
  <c r="A302" i="14"/>
  <c r="O302" i="14"/>
  <c r="Q302" i="14"/>
  <c r="X321" i="14"/>
  <c r="X320" i="14"/>
  <c r="X319" i="14"/>
  <c r="X318" i="14"/>
  <c r="X317" i="14"/>
  <c r="X316" i="14"/>
  <c r="X315" i="14"/>
  <c r="X314" i="14"/>
  <c r="X313" i="14"/>
  <c r="X312" i="14"/>
  <c r="X311" i="14"/>
  <c r="X310" i="14"/>
  <c r="X309" i="14"/>
  <c r="X308" i="14"/>
  <c r="X307" i="14"/>
  <c r="X306" i="14"/>
  <c r="X305" i="14"/>
  <c r="X304" i="14"/>
  <c r="X303" i="14"/>
  <c r="X302" i="14"/>
  <c r="A303" i="14"/>
  <c r="O303" i="14"/>
  <c r="Q303" i="14"/>
  <c r="A304" i="14"/>
  <c r="O304" i="14"/>
  <c r="Q304" i="14"/>
  <c r="A305" i="14"/>
  <c r="O305" i="14"/>
  <c r="Q305" i="14"/>
  <c r="A306" i="14"/>
  <c r="O306" i="14"/>
  <c r="Q306" i="14"/>
  <c r="A307" i="14"/>
  <c r="O307" i="14"/>
  <c r="Q307" i="14"/>
  <c r="A308" i="14"/>
  <c r="O308" i="14"/>
  <c r="Q308" i="14"/>
  <c r="A309" i="14"/>
  <c r="O309" i="14"/>
  <c r="Q309" i="14"/>
  <c r="A310" i="14"/>
  <c r="O310" i="14"/>
  <c r="Q310" i="14"/>
  <c r="A311" i="14"/>
  <c r="O311" i="14"/>
  <c r="Q311" i="14"/>
  <c r="A312" i="14"/>
  <c r="O312" i="14"/>
  <c r="Q312" i="14"/>
  <c r="A313" i="14"/>
  <c r="O313" i="14"/>
  <c r="Q313" i="14"/>
  <c r="A314" i="14"/>
  <c r="O314" i="14"/>
  <c r="Q314" i="14"/>
  <c r="A315" i="14"/>
  <c r="O315" i="14"/>
  <c r="Q315" i="14"/>
  <c r="A316" i="14"/>
  <c r="O316" i="14"/>
  <c r="Q316" i="14"/>
  <c r="A317" i="14"/>
  <c r="O317" i="14"/>
  <c r="Q317" i="14"/>
  <c r="A318" i="14"/>
  <c r="A319" i="14"/>
  <c r="A320" i="14"/>
  <c r="A321" i="14"/>
  <c r="O321" i="14"/>
  <c r="U321" i="14" s="1"/>
  <c r="Q321" i="14"/>
  <c r="W321" i="14" s="1"/>
  <c r="E322" i="14"/>
  <c r="X322" i="14"/>
  <c r="A323" i="14"/>
  <c r="O323" i="14"/>
  <c r="Q323" i="14"/>
  <c r="X342" i="14"/>
  <c r="X341" i="14"/>
  <c r="X340" i="14"/>
  <c r="X339" i="14"/>
  <c r="X338" i="14"/>
  <c r="X337" i="14"/>
  <c r="X336" i="14"/>
  <c r="X335" i="14"/>
  <c r="X334" i="14"/>
  <c r="X333" i="14"/>
  <c r="X332" i="14"/>
  <c r="X331" i="14"/>
  <c r="X330" i="14"/>
  <c r="X329" i="14"/>
  <c r="X328" i="14"/>
  <c r="X327" i="14"/>
  <c r="X326" i="14"/>
  <c r="X325" i="14"/>
  <c r="X324" i="14"/>
  <c r="X323" i="14"/>
  <c r="A324" i="14"/>
  <c r="O324" i="14"/>
  <c r="Q324" i="14"/>
  <c r="A325" i="14"/>
  <c r="O325" i="14"/>
  <c r="Q325" i="14"/>
  <c r="A326" i="14"/>
  <c r="O326" i="14"/>
  <c r="Q326" i="14"/>
  <c r="A327" i="14"/>
  <c r="O327" i="14"/>
  <c r="Q327" i="14"/>
  <c r="A328" i="14"/>
  <c r="O328" i="14"/>
  <c r="Q328" i="14"/>
  <c r="A329" i="14"/>
  <c r="O329" i="14"/>
  <c r="Q329" i="14"/>
  <c r="A330" i="14"/>
  <c r="O330" i="14"/>
  <c r="Q330" i="14"/>
  <c r="A331" i="14"/>
  <c r="O331" i="14"/>
  <c r="Q331" i="14"/>
  <c r="A332" i="14"/>
  <c r="O332" i="14"/>
  <c r="Q332" i="14"/>
  <c r="A333" i="14"/>
  <c r="O333" i="14"/>
  <c r="Q333" i="14"/>
  <c r="A334" i="14"/>
  <c r="O334" i="14"/>
  <c r="Q334" i="14"/>
  <c r="A335" i="14"/>
  <c r="O335" i="14"/>
  <c r="Q335" i="14"/>
  <c r="A336" i="14"/>
  <c r="O336" i="14"/>
  <c r="Q336" i="14"/>
  <c r="A337" i="14"/>
  <c r="O337" i="14"/>
  <c r="Q337" i="14"/>
  <c r="A338" i="14"/>
  <c r="O338" i="14"/>
  <c r="Q338" i="14"/>
  <c r="A339" i="14"/>
  <c r="A340" i="14"/>
  <c r="A341" i="14"/>
  <c r="A342" i="14"/>
  <c r="O342" i="14"/>
  <c r="U342" i="14" s="1"/>
  <c r="Q342" i="14"/>
  <c r="W342" i="14" s="1"/>
  <c r="E343" i="14"/>
  <c r="X343" i="14"/>
  <c r="A344" i="14"/>
  <c r="O344" i="14"/>
  <c r="Q344" i="14"/>
  <c r="X363" i="14"/>
  <c r="X362" i="14"/>
  <c r="X361" i="14"/>
  <c r="X360" i="14"/>
  <c r="X359" i="14"/>
  <c r="X358" i="14"/>
  <c r="X357" i="14"/>
  <c r="X356" i="14"/>
  <c r="X355" i="14"/>
  <c r="X354" i="14"/>
  <c r="X353" i="14"/>
  <c r="X352" i="14"/>
  <c r="X351" i="14"/>
  <c r="X350" i="14"/>
  <c r="X349" i="14"/>
  <c r="X348" i="14"/>
  <c r="X347" i="14"/>
  <c r="X346" i="14"/>
  <c r="X345" i="14"/>
  <c r="X344" i="14"/>
  <c r="A345" i="14"/>
  <c r="O345" i="14"/>
  <c r="Q345" i="14"/>
  <c r="A346" i="14"/>
  <c r="O346" i="14"/>
  <c r="Q346" i="14"/>
  <c r="A347" i="14"/>
  <c r="O347" i="14"/>
  <c r="Q347" i="14"/>
  <c r="A348" i="14"/>
  <c r="O348" i="14"/>
  <c r="Q348" i="14"/>
  <c r="A349" i="14"/>
  <c r="O349" i="14"/>
  <c r="Q349" i="14"/>
  <c r="A350" i="14"/>
  <c r="O350" i="14"/>
  <c r="Q350" i="14"/>
  <c r="A351" i="14"/>
  <c r="O351" i="14"/>
  <c r="Q351" i="14"/>
  <c r="A352" i="14"/>
  <c r="O352" i="14"/>
  <c r="Q352" i="14"/>
  <c r="A353" i="14"/>
  <c r="O353" i="14"/>
  <c r="Q353" i="14"/>
  <c r="A354" i="14"/>
  <c r="O354" i="14"/>
  <c r="Q354" i="14"/>
  <c r="A355" i="14"/>
  <c r="O355" i="14"/>
  <c r="Q355" i="14"/>
  <c r="A356" i="14"/>
  <c r="O356" i="14"/>
  <c r="Q356" i="14"/>
  <c r="A357" i="14"/>
  <c r="O357" i="14"/>
  <c r="Q357" i="14"/>
  <c r="A358" i="14"/>
  <c r="O358" i="14"/>
  <c r="Q358" i="14"/>
  <c r="A359" i="14"/>
  <c r="O359" i="14"/>
  <c r="Q359" i="14"/>
  <c r="A360" i="14"/>
  <c r="A361" i="14"/>
  <c r="A362" i="14"/>
  <c r="A363" i="14"/>
  <c r="O363" i="14"/>
  <c r="U363" i="14" s="1"/>
  <c r="Q363" i="14"/>
  <c r="W363" i="14" s="1"/>
  <c r="E364" i="14"/>
  <c r="X364" i="14"/>
  <c r="A365" i="14"/>
  <c r="O365" i="14"/>
  <c r="Q365" i="14"/>
  <c r="X384" i="14"/>
  <c r="X383" i="14"/>
  <c r="X382" i="14"/>
  <c r="X381" i="14"/>
  <c r="X380" i="14"/>
  <c r="X379" i="14"/>
  <c r="X378" i="14"/>
  <c r="X377" i="14"/>
  <c r="X376" i="14"/>
  <c r="X375" i="14"/>
  <c r="X374" i="14"/>
  <c r="X373" i="14"/>
  <c r="X372" i="14"/>
  <c r="X371" i="14"/>
  <c r="X370" i="14"/>
  <c r="X369" i="14"/>
  <c r="X368" i="14"/>
  <c r="X367" i="14"/>
  <c r="X366" i="14"/>
  <c r="X365" i="14"/>
  <c r="A366" i="14"/>
  <c r="O366" i="14"/>
  <c r="Q366" i="14"/>
  <c r="A367" i="14"/>
  <c r="O367" i="14"/>
  <c r="Q367" i="14"/>
  <c r="A368" i="14"/>
  <c r="O368" i="14"/>
  <c r="Q368" i="14"/>
  <c r="A369" i="14"/>
  <c r="O369" i="14"/>
  <c r="Q369" i="14"/>
  <c r="A370" i="14"/>
  <c r="O370" i="14"/>
  <c r="Q370" i="14"/>
  <c r="A371" i="14"/>
  <c r="O371" i="14"/>
  <c r="Q371" i="14"/>
  <c r="A372" i="14"/>
  <c r="O372" i="14"/>
  <c r="Q372" i="14"/>
  <c r="A373" i="14"/>
  <c r="O373" i="14"/>
  <c r="Q373" i="14"/>
  <c r="A374" i="14"/>
  <c r="O374" i="14"/>
  <c r="Q374" i="14"/>
  <c r="A375" i="14"/>
  <c r="O375" i="14"/>
  <c r="Q375" i="14"/>
  <c r="A376" i="14"/>
  <c r="O376" i="14"/>
  <c r="Q376" i="14"/>
  <c r="A377" i="14"/>
  <c r="O377" i="14"/>
  <c r="Q377" i="14"/>
  <c r="A378" i="14"/>
  <c r="O378" i="14"/>
  <c r="Q378" i="14"/>
  <c r="A379" i="14"/>
  <c r="O379" i="14"/>
  <c r="Q379" i="14"/>
  <c r="A380" i="14"/>
  <c r="O380" i="14"/>
  <c r="Q380" i="14"/>
  <c r="A381" i="14"/>
  <c r="A382" i="14"/>
  <c r="A383" i="14"/>
  <c r="A384" i="14"/>
  <c r="O384" i="14"/>
  <c r="U384" i="14" s="1"/>
  <c r="Q384" i="14"/>
  <c r="W384" i="14" s="1"/>
  <c r="E385" i="14"/>
  <c r="X385" i="14"/>
  <c r="A386" i="14"/>
  <c r="O386" i="14"/>
  <c r="Q386" i="14"/>
  <c r="X405" i="14"/>
  <c r="X404" i="14"/>
  <c r="X403" i="14"/>
  <c r="X402" i="14"/>
  <c r="X401" i="14"/>
  <c r="X400" i="14"/>
  <c r="X399" i="14"/>
  <c r="X398" i="14"/>
  <c r="X397" i="14"/>
  <c r="X396" i="14"/>
  <c r="X395" i="14"/>
  <c r="X394" i="14"/>
  <c r="X393" i="14"/>
  <c r="X392" i="14"/>
  <c r="X391" i="14"/>
  <c r="X390" i="14"/>
  <c r="X389" i="14"/>
  <c r="X388" i="14"/>
  <c r="X387" i="14"/>
  <c r="X386" i="14"/>
  <c r="A387" i="14"/>
  <c r="O387" i="14"/>
  <c r="Q387" i="14"/>
  <c r="A388" i="14"/>
  <c r="O388" i="14"/>
  <c r="Q388" i="14"/>
  <c r="A389" i="14"/>
  <c r="O389" i="14"/>
  <c r="Q389" i="14"/>
  <c r="A390" i="14"/>
  <c r="O390" i="14"/>
  <c r="Q390" i="14"/>
  <c r="A391" i="14"/>
  <c r="O391" i="14"/>
  <c r="Q391" i="14"/>
  <c r="A392" i="14"/>
  <c r="O392" i="14"/>
  <c r="Q392" i="14"/>
  <c r="A393" i="14"/>
  <c r="O393" i="14"/>
  <c r="Q393" i="14"/>
  <c r="A394" i="14"/>
  <c r="O394" i="14"/>
  <c r="Q394" i="14"/>
  <c r="A395" i="14"/>
  <c r="O395" i="14"/>
  <c r="Q395" i="14"/>
  <c r="A396" i="14"/>
  <c r="O396" i="14"/>
  <c r="Q396" i="14"/>
  <c r="A397" i="14"/>
  <c r="O397" i="14"/>
  <c r="Q397" i="14"/>
  <c r="A398" i="14"/>
  <c r="O398" i="14"/>
  <c r="Q398" i="14"/>
  <c r="A399" i="14"/>
  <c r="O399" i="14"/>
  <c r="Q399" i="14"/>
  <c r="A400" i="14"/>
  <c r="O400" i="14"/>
  <c r="Q400" i="14"/>
  <c r="A401" i="14"/>
  <c r="O401" i="14"/>
  <c r="Q401" i="14"/>
  <c r="A402" i="14"/>
  <c r="A403" i="14"/>
  <c r="A404" i="14"/>
  <c r="A405" i="14"/>
  <c r="O405" i="14"/>
  <c r="U405" i="14" s="1"/>
  <c r="Q405" i="14"/>
  <c r="W405" i="14" s="1"/>
  <c r="E406" i="14"/>
  <c r="X406" i="14"/>
  <c r="A407" i="14"/>
  <c r="O407" i="14"/>
  <c r="Q407" i="14"/>
  <c r="X426" i="14"/>
  <c r="X425" i="14"/>
  <c r="X424" i="14"/>
  <c r="X423" i="14"/>
  <c r="X422" i="14"/>
  <c r="X421" i="14"/>
  <c r="X420" i="14"/>
  <c r="X419" i="14"/>
  <c r="X418" i="14"/>
  <c r="X417" i="14"/>
  <c r="X416" i="14"/>
  <c r="X415" i="14"/>
  <c r="X414" i="14"/>
  <c r="X413" i="14"/>
  <c r="X412" i="14"/>
  <c r="X411" i="14"/>
  <c r="X410" i="14"/>
  <c r="X409" i="14"/>
  <c r="X408" i="14"/>
  <c r="X407" i="14"/>
  <c r="A408" i="14"/>
  <c r="O408" i="14"/>
  <c r="Q408" i="14"/>
  <c r="A409" i="14"/>
  <c r="O409" i="14"/>
  <c r="Q409" i="14"/>
  <c r="A410" i="14"/>
  <c r="O410" i="14"/>
  <c r="Q410" i="14"/>
  <c r="A411" i="14"/>
  <c r="O411" i="14"/>
  <c r="Q411" i="14"/>
  <c r="A412" i="14"/>
  <c r="O412" i="14"/>
  <c r="Q412" i="14"/>
  <c r="A413" i="14"/>
  <c r="O413" i="14"/>
  <c r="Q413" i="14"/>
  <c r="A414" i="14"/>
  <c r="O414" i="14"/>
  <c r="Q414" i="14"/>
  <c r="A415" i="14"/>
  <c r="O415" i="14"/>
  <c r="Q415" i="14"/>
  <c r="A416" i="14"/>
  <c r="O416" i="14"/>
  <c r="Q416" i="14"/>
  <c r="A417" i="14"/>
  <c r="O417" i="14"/>
  <c r="Q417" i="14"/>
  <c r="A418" i="14"/>
  <c r="O418" i="14"/>
  <c r="Q418" i="14"/>
  <c r="A419" i="14"/>
  <c r="O419" i="14"/>
  <c r="Q419" i="14"/>
  <c r="A420" i="14"/>
  <c r="O420" i="14"/>
  <c r="Q420" i="14"/>
  <c r="A421" i="14"/>
  <c r="O421" i="14"/>
  <c r="Q421" i="14"/>
  <c r="A422" i="14"/>
  <c r="O422" i="14"/>
  <c r="Q422" i="14"/>
  <c r="A423" i="14"/>
  <c r="A424" i="14"/>
  <c r="A425" i="14"/>
  <c r="A426" i="14"/>
  <c r="O426" i="14"/>
  <c r="U426" i="14" s="1"/>
  <c r="Q426" i="14"/>
  <c r="W426" i="14" s="1"/>
  <c r="E427" i="14"/>
  <c r="X427" i="14"/>
  <c r="A8" i="13"/>
  <c r="O8" i="13"/>
  <c r="Q8" i="13"/>
  <c r="X27" i="13"/>
  <c r="X26" i="13"/>
  <c r="X25" i="13"/>
  <c r="X24" i="13"/>
  <c r="X23" i="13"/>
  <c r="X22" i="13"/>
  <c r="X21" i="13"/>
  <c r="X20" i="13"/>
  <c r="X19" i="13"/>
  <c r="X18" i="13"/>
  <c r="X17" i="13"/>
  <c r="X16" i="13"/>
  <c r="X15" i="13"/>
  <c r="X14" i="13"/>
  <c r="X13" i="13"/>
  <c r="X12" i="13"/>
  <c r="X11" i="13"/>
  <c r="X10" i="13"/>
  <c r="X9" i="13"/>
  <c r="X8" i="13"/>
  <c r="A9" i="13"/>
  <c r="O9" i="13"/>
  <c r="Q9" i="13"/>
  <c r="A10" i="13"/>
  <c r="O10" i="13"/>
  <c r="Q10" i="13"/>
  <c r="A11" i="13"/>
  <c r="O11" i="13"/>
  <c r="Q11" i="13"/>
  <c r="A12" i="13"/>
  <c r="O12" i="13"/>
  <c r="Q12" i="13"/>
  <c r="A13" i="13"/>
  <c r="O13" i="13"/>
  <c r="Q13" i="13"/>
  <c r="A14" i="13"/>
  <c r="O14" i="13"/>
  <c r="Q14" i="13"/>
  <c r="A15" i="13"/>
  <c r="O15" i="13"/>
  <c r="Q15" i="13"/>
  <c r="A16" i="13"/>
  <c r="O16" i="13"/>
  <c r="Q16" i="13"/>
  <c r="A17" i="13"/>
  <c r="O17" i="13"/>
  <c r="Q17" i="13"/>
  <c r="A18" i="13"/>
  <c r="O18" i="13"/>
  <c r="Q18" i="13"/>
  <c r="A19" i="13"/>
  <c r="O19" i="13"/>
  <c r="Q19" i="13"/>
  <c r="A20" i="13"/>
  <c r="O20" i="13"/>
  <c r="Q20" i="13"/>
  <c r="A21" i="13"/>
  <c r="O21" i="13"/>
  <c r="Q21" i="13"/>
  <c r="A22" i="13"/>
  <c r="O22" i="13"/>
  <c r="Q22" i="13"/>
  <c r="A23" i="13"/>
  <c r="O23" i="13"/>
  <c r="Q23" i="13"/>
  <c r="A24" i="13"/>
  <c r="A25" i="13"/>
  <c r="A26" i="13"/>
  <c r="A27" i="13"/>
  <c r="O27" i="13"/>
  <c r="U27" i="13" s="1"/>
  <c r="Q27" i="13"/>
  <c r="W27" i="13" s="1"/>
  <c r="E28" i="13"/>
  <c r="X28" i="13"/>
  <c r="A29" i="13"/>
  <c r="O29" i="13"/>
  <c r="Q29" i="13"/>
  <c r="X48" i="13"/>
  <c r="X47" i="13"/>
  <c r="X46" i="13"/>
  <c r="X45" i="13"/>
  <c r="X44" i="13"/>
  <c r="X43" i="13"/>
  <c r="X42" i="13"/>
  <c r="X41" i="13"/>
  <c r="X40" i="13"/>
  <c r="X39" i="13"/>
  <c r="X38" i="13"/>
  <c r="X37" i="13"/>
  <c r="X36" i="13"/>
  <c r="X35" i="13"/>
  <c r="X34" i="13"/>
  <c r="X33" i="13"/>
  <c r="X32" i="13"/>
  <c r="X31" i="13"/>
  <c r="X30" i="13"/>
  <c r="X29" i="13"/>
  <c r="A30" i="13"/>
  <c r="O30" i="13"/>
  <c r="Q30" i="13"/>
  <c r="A31" i="13"/>
  <c r="O31" i="13"/>
  <c r="Q31" i="13"/>
  <c r="A32" i="13"/>
  <c r="O32" i="13"/>
  <c r="Q32" i="13"/>
  <c r="A33" i="13"/>
  <c r="O33" i="13"/>
  <c r="Q33" i="13"/>
  <c r="A34" i="13"/>
  <c r="O34" i="13"/>
  <c r="Q34" i="13"/>
  <c r="A35" i="13"/>
  <c r="O35" i="13"/>
  <c r="Q35" i="13"/>
  <c r="A36" i="13"/>
  <c r="O36" i="13"/>
  <c r="Q36" i="13"/>
  <c r="A37" i="13"/>
  <c r="O37" i="13"/>
  <c r="Q37" i="13"/>
  <c r="A38" i="13"/>
  <c r="O38" i="13"/>
  <c r="Q38" i="13"/>
  <c r="A39" i="13"/>
  <c r="O39" i="13"/>
  <c r="Q39" i="13"/>
  <c r="A40" i="13"/>
  <c r="O40" i="13"/>
  <c r="Q40" i="13"/>
  <c r="A41" i="13"/>
  <c r="O41" i="13"/>
  <c r="Q41" i="13"/>
  <c r="A42" i="13"/>
  <c r="O42" i="13"/>
  <c r="Q42" i="13"/>
  <c r="A43" i="13"/>
  <c r="O43" i="13"/>
  <c r="Q43" i="13"/>
  <c r="A44" i="13"/>
  <c r="O44" i="13"/>
  <c r="Q44" i="13"/>
  <c r="A45" i="13"/>
  <c r="A46" i="13"/>
  <c r="A47" i="13"/>
  <c r="A48" i="13"/>
  <c r="O48" i="13"/>
  <c r="U48" i="13" s="1"/>
  <c r="Q48" i="13"/>
  <c r="W48" i="13" s="1"/>
  <c r="E49" i="13"/>
  <c r="X49" i="13"/>
  <c r="A50" i="13"/>
  <c r="O50" i="13"/>
  <c r="Q50" i="13"/>
  <c r="X69" i="13"/>
  <c r="X68" i="13"/>
  <c r="X67" i="13"/>
  <c r="X66" i="13"/>
  <c r="X65" i="13"/>
  <c r="X64" i="13"/>
  <c r="X63" i="13"/>
  <c r="X62" i="13"/>
  <c r="X61" i="13"/>
  <c r="X60" i="13"/>
  <c r="X59" i="13"/>
  <c r="X58" i="13"/>
  <c r="X57" i="13"/>
  <c r="X56" i="13"/>
  <c r="X55" i="13"/>
  <c r="X54" i="13"/>
  <c r="X53" i="13"/>
  <c r="X52" i="13"/>
  <c r="X51" i="13"/>
  <c r="X50" i="13"/>
  <c r="A51" i="13"/>
  <c r="O51" i="13"/>
  <c r="Q51" i="13"/>
  <c r="A52" i="13"/>
  <c r="O52" i="13"/>
  <c r="Q52" i="13"/>
  <c r="A53" i="13"/>
  <c r="O53" i="13"/>
  <c r="Q53" i="13"/>
  <c r="A54" i="13"/>
  <c r="O54" i="13"/>
  <c r="Q54" i="13"/>
  <c r="A55" i="13"/>
  <c r="O55" i="13"/>
  <c r="Q55" i="13"/>
  <c r="A56" i="13"/>
  <c r="O56" i="13"/>
  <c r="Q56" i="13"/>
  <c r="A57" i="13"/>
  <c r="O57" i="13"/>
  <c r="Q57" i="13"/>
  <c r="A58" i="13"/>
  <c r="O58" i="13"/>
  <c r="Q58" i="13"/>
  <c r="A59" i="13"/>
  <c r="O59" i="13"/>
  <c r="Q59" i="13"/>
  <c r="A60" i="13"/>
  <c r="O60" i="13"/>
  <c r="Q60" i="13"/>
  <c r="A61" i="13"/>
  <c r="O61" i="13"/>
  <c r="Q61" i="13"/>
  <c r="A62" i="13"/>
  <c r="O62" i="13"/>
  <c r="Q62" i="13"/>
  <c r="A63" i="13"/>
  <c r="O63" i="13"/>
  <c r="Q63" i="13"/>
  <c r="A64" i="13"/>
  <c r="O64" i="13"/>
  <c r="Q64" i="13"/>
  <c r="A65" i="13"/>
  <c r="O65" i="13"/>
  <c r="Q65" i="13"/>
  <c r="A66" i="13"/>
  <c r="A67" i="13"/>
  <c r="A68" i="13"/>
  <c r="A69" i="13"/>
  <c r="O69" i="13"/>
  <c r="U69" i="13" s="1"/>
  <c r="Q69" i="13"/>
  <c r="W69" i="13" s="1"/>
  <c r="E70" i="13"/>
  <c r="X70" i="13"/>
  <c r="A71" i="13"/>
  <c r="O71" i="13"/>
  <c r="Q71" i="13"/>
  <c r="X90" i="13"/>
  <c r="X89" i="13"/>
  <c r="X88" i="13"/>
  <c r="X87" i="13"/>
  <c r="X86" i="13"/>
  <c r="X85" i="13"/>
  <c r="X84" i="13"/>
  <c r="X83" i="13"/>
  <c r="X82" i="13"/>
  <c r="X81" i="13"/>
  <c r="X80" i="13"/>
  <c r="X79" i="13"/>
  <c r="X78" i="13"/>
  <c r="X77" i="13"/>
  <c r="X76" i="13"/>
  <c r="X75" i="13"/>
  <c r="X74" i="13"/>
  <c r="X73" i="13"/>
  <c r="X72" i="13"/>
  <c r="X71" i="13"/>
  <c r="A72" i="13"/>
  <c r="O72" i="13"/>
  <c r="Q72" i="13"/>
  <c r="A73" i="13"/>
  <c r="O73" i="13"/>
  <c r="Q73" i="13"/>
  <c r="A74" i="13"/>
  <c r="O74" i="13"/>
  <c r="Q74" i="13"/>
  <c r="A75" i="13"/>
  <c r="O75" i="13"/>
  <c r="Q75" i="13"/>
  <c r="A76" i="13"/>
  <c r="O76" i="13"/>
  <c r="Q76" i="13"/>
  <c r="A77" i="13"/>
  <c r="O77" i="13"/>
  <c r="Q77" i="13"/>
  <c r="A78" i="13"/>
  <c r="O78" i="13"/>
  <c r="Q78" i="13"/>
  <c r="A79" i="13"/>
  <c r="O79" i="13"/>
  <c r="Q79" i="13"/>
  <c r="A80" i="13"/>
  <c r="O80" i="13"/>
  <c r="Q80" i="13"/>
  <c r="A81" i="13"/>
  <c r="O81" i="13"/>
  <c r="Q81" i="13"/>
  <c r="A82" i="13"/>
  <c r="O82" i="13"/>
  <c r="Q82" i="13"/>
  <c r="A83" i="13"/>
  <c r="O83" i="13"/>
  <c r="Q83" i="13"/>
  <c r="A84" i="13"/>
  <c r="O84" i="13"/>
  <c r="Q84" i="13"/>
  <c r="A85" i="13"/>
  <c r="O85" i="13"/>
  <c r="Q85" i="13"/>
  <c r="A86" i="13"/>
  <c r="O86" i="13"/>
  <c r="Q86" i="13"/>
  <c r="A87" i="13"/>
  <c r="A88" i="13"/>
  <c r="A89" i="13"/>
  <c r="A90" i="13"/>
  <c r="O90" i="13"/>
  <c r="U90" i="13" s="1"/>
  <c r="Q90" i="13"/>
  <c r="W90" i="13" s="1"/>
  <c r="E91" i="13"/>
  <c r="X91" i="13"/>
  <c r="A92" i="13"/>
  <c r="O92" i="13"/>
  <c r="Q92" i="13"/>
  <c r="X111" i="13"/>
  <c r="X110" i="13"/>
  <c r="X109" i="13"/>
  <c r="X108" i="13"/>
  <c r="X107" i="13"/>
  <c r="X106" i="13"/>
  <c r="X105" i="13"/>
  <c r="X104" i="13"/>
  <c r="X103" i="13"/>
  <c r="X102" i="13"/>
  <c r="X101" i="13"/>
  <c r="X100" i="13"/>
  <c r="X99" i="13"/>
  <c r="X98" i="13"/>
  <c r="X97" i="13"/>
  <c r="X96" i="13"/>
  <c r="X95" i="13"/>
  <c r="X94" i="13"/>
  <c r="X93" i="13"/>
  <c r="X92" i="13"/>
  <c r="A93" i="13"/>
  <c r="O93" i="13"/>
  <c r="Q93" i="13"/>
  <c r="A94" i="13"/>
  <c r="O94" i="13"/>
  <c r="Q94" i="13"/>
  <c r="A95" i="13"/>
  <c r="O95" i="13"/>
  <c r="Q95" i="13"/>
  <c r="A96" i="13"/>
  <c r="O96" i="13"/>
  <c r="Q96" i="13"/>
  <c r="A97" i="13"/>
  <c r="O97" i="13"/>
  <c r="Q97" i="13"/>
  <c r="A98" i="13"/>
  <c r="O98" i="13"/>
  <c r="Q98" i="13"/>
  <c r="A99" i="13"/>
  <c r="O99" i="13"/>
  <c r="Q99" i="13"/>
  <c r="A100" i="13"/>
  <c r="O100" i="13"/>
  <c r="Q100" i="13"/>
  <c r="A101" i="13"/>
  <c r="O101" i="13"/>
  <c r="Q101" i="13"/>
  <c r="A102" i="13"/>
  <c r="O102" i="13"/>
  <c r="Q102" i="13"/>
  <c r="A103" i="13"/>
  <c r="O103" i="13"/>
  <c r="Q103" i="13"/>
  <c r="A104" i="13"/>
  <c r="O104" i="13"/>
  <c r="Q104" i="13"/>
  <c r="A105" i="13"/>
  <c r="O105" i="13"/>
  <c r="Q105" i="13"/>
  <c r="A106" i="13"/>
  <c r="O106" i="13"/>
  <c r="Q106" i="13"/>
  <c r="A107" i="13"/>
  <c r="O107" i="13"/>
  <c r="Q107" i="13"/>
  <c r="A108" i="13"/>
  <c r="A109" i="13"/>
  <c r="A110" i="13"/>
  <c r="A111" i="13"/>
  <c r="O111" i="13"/>
  <c r="U111" i="13" s="1"/>
  <c r="Q111" i="13"/>
  <c r="W111" i="13" s="1"/>
  <c r="E112" i="13"/>
  <c r="X112" i="13"/>
  <c r="A113" i="13"/>
  <c r="O113" i="13"/>
  <c r="Q113" i="13"/>
  <c r="X132" i="13"/>
  <c r="X131" i="13"/>
  <c r="X130" i="13"/>
  <c r="X129" i="13"/>
  <c r="X128" i="13"/>
  <c r="X127" i="13"/>
  <c r="X126" i="13"/>
  <c r="X125" i="13"/>
  <c r="X124" i="13"/>
  <c r="X123" i="13"/>
  <c r="X122" i="13"/>
  <c r="X121" i="13"/>
  <c r="X120" i="13"/>
  <c r="X119" i="13"/>
  <c r="X118" i="13"/>
  <c r="X117" i="13"/>
  <c r="X116" i="13"/>
  <c r="X115" i="13"/>
  <c r="X114" i="13"/>
  <c r="X113" i="13"/>
  <c r="A114" i="13"/>
  <c r="O114" i="13"/>
  <c r="Q114" i="13"/>
  <c r="A115" i="13"/>
  <c r="O115" i="13"/>
  <c r="Q115" i="13"/>
  <c r="A116" i="13"/>
  <c r="O116" i="13"/>
  <c r="Q116" i="13"/>
  <c r="A117" i="13"/>
  <c r="O117" i="13"/>
  <c r="Q117" i="13"/>
  <c r="A118" i="13"/>
  <c r="O118" i="13"/>
  <c r="Q118" i="13"/>
  <c r="A119" i="13"/>
  <c r="O119" i="13"/>
  <c r="Q119" i="13"/>
  <c r="A120" i="13"/>
  <c r="O120" i="13"/>
  <c r="Q120" i="13"/>
  <c r="A121" i="13"/>
  <c r="O121" i="13"/>
  <c r="Q121" i="13"/>
  <c r="A122" i="13"/>
  <c r="O122" i="13"/>
  <c r="Q122" i="13"/>
  <c r="A123" i="13"/>
  <c r="O123" i="13"/>
  <c r="Q123" i="13"/>
  <c r="A124" i="13"/>
  <c r="O124" i="13"/>
  <c r="Q124" i="13"/>
  <c r="A125" i="13"/>
  <c r="O125" i="13"/>
  <c r="Q125" i="13"/>
  <c r="A126" i="13"/>
  <c r="O126" i="13"/>
  <c r="Q126" i="13"/>
  <c r="A127" i="13"/>
  <c r="O127" i="13"/>
  <c r="Q127" i="13"/>
  <c r="A128" i="13"/>
  <c r="O128" i="13"/>
  <c r="Q128" i="13"/>
  <c r="A129" i="13"/>
  <c r="A130" i="13"/>
  <c r="A131" i="13"/>
  <c r="A132" i="13"/>
  <c r="O132" i="13"/>
  <c r="U132" i="13" s="1"/>
  <c r="Q132" i="13"/>
  <c r="W132" i="13" s="1"/>
  <c r="E133" i="13"/>
  <c r="X133" i="13"/>
  <c r="A134" i="13"/>
  <c r="O134" i="13"/>
  <c r="Q134" i="13"/>
  <c r="X153" i="13"/>
  <c r="X152" i="13"/>
  <c r="X151" i="13"/>
  <c r="X150" i="13"/>
  <c r="X149" i="13"/>
  <c r="X148" i="13"/>
  <c r="X147" i="13"/>
  <c r="X146" i="13"/>
  <c r="X145" i="13"/>
  <c r="X144" i="13"/>
  <c r="X143" i="13"/>
  <c r="X142" i="13"/>
  <c r="X141" i="13"/>
  <c r="X140" i="13"/>
  <c r="X139" i="13"/>
  <c r="X138" i="13"/>
  <c r="X137" i="13"/>
  <c r="X136" i="13"/>
  <c r="X135" i="13"/>
  <c r="X134" i="13"/>
  <c r="A135" i="13"/>
  <c r="O135" i="13"/>
  <c r="Q135" i="13"/>
  <c r="A136" i="13"/>
  <c r="O136" i="13"/>
  <c r="Q136" i="13"/>
  <c r="A137" i="13"/>
  <c r="O137" i="13"/>
  <c r="Q137" i="13"/>
  <c r="A138" i="13"/>
  <c r="O138" i="13"/>
  <c r="Q138" i="13"/>
  <c r="A139" i="13"/>
  <c r="O139" i="13"/>
  <c r="Q139" i="13"/>
  <c r="A140" i="13"/>
  <c r="O140" i="13"/>
  <c r="Q140" i="13"/>
  <c r="A141" i="13"/>
  <c r="O141" i="13"/>
  <c r="Q141" i="13"/>
  <c r="A142" i="13"/>
  <c r="O142" i="13"/>
  <c r="Q142" i="13"/>
  <c r="A143" i="13"/>
  <c r="O143" i="13"/>
  <c r="Q143" i="13"/>
  <c r="A144" i="13"/>
  <c r="O144" i="13"/>
  <c r="Q144" i="13"/>
  <c r="A145" i="13"/>
  <c r="O145" i="13"/>
  <c r="Q145" i="13"/>
  <c r="A146" i="13"/>
  <c r="O146" i="13"/>
  <c r="Q146" i="13"/>
  <c r="A147" i="13"/>
  <c r="O147" i="13"/>
  <c r="Q147" i="13"/>
  <c r="A148" i="13"/>
  <c r="O148" i="13"/>
  <c r="Q148" i="13"/>
  <c r="A149" i="13"/>
  <c r="O149" i="13"/>
  <c r="Q149" i="13"/>
  <c r="A150" i="13"/>
  <c r="A151" i="13"/>
  <c r="A152" i="13"/>
  <c r="A153" i="13"/>
  <c r="O153" i="13"/>
  <c r="U153" i="13" s="1"/>
  <c r="Q153" i="13"/>
  <c r="W153" i="13" s="1"/>
  <c r="E154" i="13"/>
  <c r="X154" i="13"/>
  <c r="A155" i="13"/>
  <c r="O155" i="13"/>
  <c r="Q155" i="13"/>
  <c r="X174" i="13"/>
  <c r="X173" i="13"/>
  <c r="X172" i="13"/>
  <c r="X171" i="13"/>
  <c r="X170" i="13"/>
  <c r="X169" i="13"/>
  <c r="X168" i="13"/>
  <c r="X167" i="13"/>
  <c r="X166" i="13"/>
  <c r="X165" i="13"/>
  <c r="X164" i="13"/>
  <c r="X163" i="13"/>
  <c r="X162" i="13"/>
  <c r="X161" i="13"/>
  <c r="X160" i="13"/>
  <c r="X159" i="13"/>
  <c r="X158" i="13"/>
  <c r="X157" i="13"/>
  <c r="X156" i="13"/>
  <c r="X155" i="13"/>
  <c r="A156" i="13"/>
  <c r="O156" i="13"/>
  <c r="Q156" i="13"/>
  <c r="A157" i="13"/>
  <c r="O157" i="13"/>
  <c r="Q157" i="13"/>
  <c r="A158" i="13"/>
  <c r="O158" i="13"/>
  <c r="Q158" i="13"/>
  <c r="A159" i="13"/>
  <c r="O159" i="13"/>
  <c r="Q159" i="13"/>
  <c r="A160" i="13"/>
  <c r="O160" i="13"/>
  <c r="Q160" i="13"/>
  <c r="A161" i="13"/>
  <c r="O161" i="13"/>
  <c r="Q161" i="13"/>
  <c r="A162" i="13"/>
  <c r="O162" i="13"/>
  <c r="Q162" i="13"/>
  <c r="A163" i="13"/>
  <c r="O163" i="13"/>
  <c r="Q163" i="13"/>
  <c r="A164" i="13"/>
  <c r="O164" i="13"/>
  <c r="Q164" i="13"/>
  <c r="A165" i="13"/>
  <c r="O165" i="13"/>
  <c r="Q165" i="13"/>
  <c r="A166" i="13"/>
  <c r="O166" i="13"/>
  <c r="Q166" i="13"/>
  <c r="A167" i="13"/>
  <c r="O167" i="13"/>
  <c r="Q167" i="13"/>
  <c r="A168" i="13"/>
  <c r="O168" i="13"/>
  <c r="Q168" i="13"/>
  <c r="A169" i="13"/>
  <c r="O169" i="13"/>
  <c r="Q169" i="13"/>
  <c r="A170" i="13"/>
  <c r="O170" i="13"/>
  <c r="Q170" i="13"/>
  <c r="A171" i="13"/>
  <c r="A172" i="13"/>
  <c r="A173" i="13"/>
  <c r="A174" i="13"/>
  <c r="O174" i="13"/>
  <c r="U174" i="13" s="1"/>
  <c r="Q174" i="13"/>
  <c r="W174" i="13" s="1"/>
  <c r="E175" i="13"/>
  <c r="X175" i="13"/>
  <c r="A176" i="13"/>
  <c r="O176" i="13"/>
  <c r="Q176" i="13"/>
  <c r="X195" i="13"/>
  <c r="X194" i="13"/>
  <c r="X193" i="13"/>
  <c r="X192" i="13"/>
  <c r="X191" i="13"/>
  <c r="X190" i="13"/>
  <c r="X189" i="13"/>
  <c r="X188" i="13"/>
  <c r="X187" i="13"/>
  <c r="X186" i="13"/>
  <c r="X185" i="13"/>
  <c r="X184" i="13"/>
  <c r="X183" i="13"/>
  <c r="X182" i="13"/>
  <c r="X181" i="13"/>
  <c r="X180" i="13"/>
  <c r="X179" i="13"/>
  <c r="X178" i="13"/>
  <c r="X177" i="13"/>
  <c r="X176" i="13"/>
  <c r="A177" i="13"/>
  <c r="O177" i="13"/>
  <c r="Q177" i="13"/>
  <c r="A178" i="13"/>
  <c r="O178" i="13"/>
  <c r="Q178" i="13"/>
  <c r="A179" i="13"/>
  <c r="O179" i="13"/>
  <c r="Q179" i="13"/>
  <c r="A180" i="13"/>
  <c r="O180" i="13"/>
  <c r="Q180" i="13"/>
  <c r="A181" i="13"/>
  <c r="O181" i="13"/>
  <c r="Q181" i="13"/>
  <c r="A182" i="13"/>
  <c r="O182" i="13"/>
  <c r="Q182" i="13"/>
  <c r="A183" i="13"/>
  <c r="O183" i="13"/>
  <c r="Q183" i="13"/>
  <c r="A184" i="13"/>
  <c r="O184" i="13"/>
  <c r="Q184" i="13"/>
  <c r="A185" i="13"/>
  <c r="O185" i="13"/>
  <c r="Q185" i="13"/>
  <c r="A186" i="13"/>
  <c r="O186" i="13"/>
  <c r="Q186" i="13"/>
  <c r="A187" i="13"/>
  <c r="O187" i="13"/>
  <c r="Q187" i="13"/>
  <c r="A188" i="13"/>
  <c r="O188" i="13"/>
  <c r="Q188" i="13"/>
  <c r="A189" i="13"/>
  <c r="O189" i="13"/>
  <c r="Q189" i="13"/>
  <c r="A190" i="13"/>
  <c r="O190" i="13"/>
  <c r="Q190" i="13"/>
  <c r="A191" i="13"/>
  <c r="O191" i="13"/>
  <c r="Q191" i="13"/>
  <c r="A192" i="13"/>
  <c r="A193" i="13"/>
  <c r="A194" i="13"/>
  <c r="A195" i="13"/>
  <c r="O195" i="13"/>
  <c r="U195" i="13" s="1"/>
  <c r="Q195" i="13"/>
  <c r="W195" i="13" s="1"/>
  <c r="E196" i="13"/>
  <c r="X196" i="13"/>
  <c r="A197" i="13"/>
  <c r="O197" i="13"/>
  <c r="Q197" i="13"/>
  <c r="X216" i="13"/>
  <c r="X215" i="13"/>
  <c r="X214" i="13"/>
  <c r="X213" i="13"/>
  <c r="X212" i="13"/>
  <c r="X211" i="13"/>
  <c r="X210" i="13"/>
  <c r="X209" i="13"/>
  <c r="X208" i="13"/>
  <c r="X207" i="13"/>
  <c r="X206" i="13"/>
  <c r="X205" i="13"/>
  <c r="X204" i="13"/>
  <c r="X203" i="13"/>
  <c r="X202" i="13"/>
  <c r="X201" i="13"/>
  <c r="X200" i="13"/>
  <c r="X199" i="13"/>
  <c r="X198" i="13"/>
  <c r="X197" i="13"/>
  <c r="A198" i="13"/>
  <c r="O198" i="13"/>
  <c r="Q198" i="13"/>
  <c r="A199" i="13"/>
  <c r="O199" i="13"/>
  <c r="Q199" i="13"/>
  <c r="A200" i="13"/>
  <c r="O200" i="13"/>
  <c r="Q200" i="13"/>
  <c r="A201" i="13"/>
  <c r="O201" i="13"/>
  <c r="Q201" i="13"/>
  <c r="A202" i="13"/>
  <c r="O202" i="13"/>
  <c r="Q202" i="13"/>
  <c r="A203" i="13"/>
  <c r="O203" i="13"/>
  <c r="Q203" i="13"/>
  <c r="A204" i="13"/>
  <c r="O204" i="13"/>
  <c r="Q204" i="13"/>
  <c r="A205" i="13"/>
  <c r="O205" i="13"/>
  <c r="Q205" i="13"/>
  <c r="A206" i="13"/>
  <c r="O206" i="13"/>
  <c r="Q206" i="13"/>
  <c r="A207" i="13"/>
  <c r="O207" i="13"/>
  <c r="Q207" i="13"/>
  <c r="A208" i="13"/>
  <c r="O208" i="13"/>
  <c r="Q208" i="13"/>
  <c r="A209" i="13"/>
  <c r="O209" i="13"/>
  <c r="Q209" i="13"/>
  <c r="A210" i="13"/>
  <c r="O210" i="13"/>
  <c r="Q210" i="13"/>
  <c r="A211" i="13"/>
  <c r="O211" i="13"/>
  <c r="Q211" i="13"/>
  <c r="A212" i="13"/>
  <c r="O212" i="13"/>
  <c r="Q212" i="13"/>
  <c r="A213" i="13"/>
  <c r="A214" i="13"/>
  <c r="A215" i="13"/>
  <c r="A216" i="13"/>
  <c r="O216" i="13"/>
  <c r="U216" i="13" s="1"/>
  <c r="Q216" i="13"/>
  <c r="W216" i="13" s="1"/>
  <c r="E217" i="13"/>
  <c r="X217" i="13"/>
  <c r="A218" i="13"/>
  <c r="O218" i="13"/>
  <c r="Q218" i="13"/>
  <c r="X237" i="13"/>
  <c r="X236" i="13"/>
  <c r="X235" i="13"/>
  <c r="X234" i="13"/>
  <c r="X233" i="13"/>
  <c r="X232" i="13"/>
  <c r="X231" i="13"/>
  <c r="X230" i="13"/>
  <c r="X229" i="13"/>
  <c r="X228" i="13"/>
  <c r="X227" i="13"/>
  <c r="X226" i="13"/>
  <c r="X225" i="13"/>
  <c r="X224" i="13"/>
  <c r="X223" i="13"/>
  <c r="X222" i="13"/>
  <c r="X221" i="13"/>
  <c r="X220" i="13"/>
  <c r="X219" i="13"/>
  <c r="X218" i="13"/>
  <c r="A219" i="13"/>
  <c r="O219" i="13"/>
  <c r="Q219" i="13"/>
  <c r="A220" i="13"/>
  <c r="O220" i="13"/>
  <c r="Q220" i="13"/>
  <c r="A221" i="13"/>
  <c r="O221" i="13"/>
  <c r="Q221" i="13"/>
  <c r="A222" i="13"/>
  <c r="O222" i="13"/>
  <c r="Q222" i="13"/>
  <c r="A223" i="13"/>
  <c r="O223" i="13"/>
  <c r="Q223" i="13"/>
  <c r="A224" i="13"/>
  <c r="O224" i="13"/>
  <c r="Q224" i="13"/>
  <c r="A225" i="13"/>
  <c r="O225" i="13"/>
  <c r="Q225" i="13"/>
  <c r="A226" i="13"/>
  <c r="O226" i="13"/>
  <c r="Q226" i="13"/>
  <c r="A227" i="13"/>
  <c r="O227" i="13"/>
  <c r="Q227" i="13"/>
  <c r="A228" i="13"/>
  <c r="O228" i="13"/>
  <c r="Q228" i="13"/>
  <c r="A229" i="13"/>
  <c r="O229" i="13"/>
  <c r="Q229" i="13"/>
  <c r="A230" i="13"/>
  <c r="O230" i="13"/>
  <c r="Q230" i="13"/>
  <c r="A231" i="13"/>
  <c r="O231" i="13"/>
  <c r="Q231" i="13"/>
  <c r="A232" i="13"/>
  <c r="O232" i="13"/>
  <c r="Q232" i="13"/>
  <c r="A233" i="13"/>
  <c r="O233" i="13"/>
  <c r="Q233" i="13"/>
  <c r="A234" i="13"/>
  <c r="A235" i="13"/>
  <c r="A236" i="13"/>
  <c r="A237" i="13"/>
  <c r="O237" i="13"/>
  <c r="U237" i="13" s="1"/>
  <c r="Q237" i="13"/>
  <c r="W237" i="13" s="1"/>
  <c r="E238" i="13"/>
  <c r="X238" i="13"/>
  <c r="A239" i="13"/>
  <c r="O239" i="13"/>
  <c r="Q239" i="13"/>
  <c r="X258" i="13"/>
  <c r="X257" i="13"/>
  <c r="X256" i="13"/>
  <c r="X255" i="13"/>
  <c r="X254" i="13"/>
  <c r="X253" i="13"/>
  <c r="X252" i="13"/>
  <c r="X251" i="13"/>
  <c r="X250" i="13"/>
  <c r="X249" i="13"/>
  <c r="X248" i="13"/>
  <c r="X247" i="13"/>
  <c r="X246" i="13"/>
  <c r="X245" i="13"/>
  <c r="X244" i="13"/>
  <c r="X243" i="13"/>
  <c r="X242" i="13"/>
  <c r="X241" i="13"/>
  <c r="X240" i="13"/>
  <c r="X239" i="13"/>
  <c r="A240" i="13"/>
  <c r="O240" i="13"/>
  <c r="Q240" i="13"/>
  <c r="A241" i="13"/>
  <c r="O241" i="13"/>
  <c r="Q241" i="13"/>
  <c r="A242" i="13"/>
  <c r="O242" i="13"/>
  <c r="Q242" i="13"/>
  <c r="A243" i="13"/>
  <c r="O243" i="13"/>
  <c r="Q243" i="13"/>
  <c r="A244" i="13"/>
  <c r="O244" i="13"/>
  <c r="Q244" i="13"/>
  <c r="A245" i="13"/>
  <c r="O245" i="13"/>
  <c r="Q245" i="13"/>
  <c r="A246" i="13"/>
  <c r="O246" i="13"/>
  <c r="Q246" i="13"/>
  <c r="A247" i="13"/>
  <c r="O247" i="13"/>
  <c r="Q247" i="13"/>
  <c r="A248" i="13"/>
  <c r="O248" i="13"/>
  <c r="Q248" i="13"/>
  <c r="A249" i="13"/>
  <c r="O249" i="13"/>
  <c r="Q249" i="13"/>
  <c r="A250" i="13"/>
  <c r="O250" i="13"/>
  <c r="Q250" i="13"/>
  <c r="A251" i="13"/>
  <c r="O251" i="13"/>
  <c r="Q251" i="13"/>
  <c r="A252" i="13"/>
  <c r="O252" i="13"/>
  <c r="Q252" i="13"/>
  <c r="A253" i="13"/>
  <c r="O253" i="13"/>
  <c r="Q253" i="13"/>
  <c r="A254" i="13"/>
  <c r="O254" i="13"/>
  <c r="Q254" i="13"/>
  <c r="A255" i="13"/>
  <c r="A256" i="13"/>
  <c r="A257" i="13"/>
  <c r="A258" i="13"/>
  <c r="O258" i="13"/>
  <c r="U258" i="13" s="1"/>
  <c r="Q258" i="13"/>
  <c r="W258" i="13" s="1"/>
  <c r="E259" i="13"/>
  <c r="X259" i="13"/>
  <c r="A260" i="13"/>
  <c r="O260" i="13"/>
  <c r="Q260" i="13"/>
  <c r="X279" i="13"/>
  <c r="X278" i="13"/>
  <c r="X277" i="13"/>
  <c r="X276" i="13"/>
  <c r="X275" i="13"/>
  <c r="X274" i="13"/>
  <c r="X273" i="13"/>
  <c r="X272" i="13"/>
  <c r="X271" i="13"/>
  <c r="X270" i="13"/>
  <c r="X269" i="13"/>
  <c r="X268" i="13"/>
  <c r="X267" i="13"/>
  <c r="X266" i="13"/>
  <c r="X265" i="13"/>
  <c r="X264" i="13"/>
  <c r="X263" i="13"/>
  <c r="X262" i="13"/>
  <c r="X261" i="13"/>
  <c r="X260" i="13"/>
  <c r="A261" i="13"/>
  <c r="O261" i="13"/>
  <c r="Q261" i="13"/>
  <c r="A262" i="13"/>
  <c r="O262" i="13"/>
  <c r="Q262" i="13"/>
  <c r="A263" i="13"/>
  <c r="O263" i="13"/>
  <c r="Q263" i="13"/>
  <c r="A264" i="13"/>
  <c r="O264" i="13"/>
  <c r="Q264" i="13"/>
  <c r="A265" i="13"/>
  <c r="O265" i="13"/>
  <c r="Q265" i="13"/>
  <c r="A266" i="13"/>
  <c r="O266" i="13"/>
  <c r="Q266" i="13"/>
  <c r="A267" i="13"/>
  <c r="O267" i="13"/>
  <c r="Q267" i="13"/>
  <c r="A268" i="13"/>
  <c r="O268" i="13"/>
  <c r="Q268" i="13"/>
  <c r="A269" i="13"/>
  <c r="O269" i="13"/>
  <c r="Q269" i="13"/>
  <c r="A270" i="13"/>
  <c r="O270" i="13"/>
  <c r="Q270" i="13"/>
  <c r="A271" i="13"/>
  <c r="O271" i="13"/>
  <c r="Q271" i="13"/>
  <c r="A272" i="13"/>
  <c r="O272" i="13"/>
  <c r="Q272" i="13"/>
  <c r="A273" i="13"/>
  <c r="O273" i="13"/>
  <c r="Q273" i="13"/>
  <c r="A274" i="13"/>
  <c r="O274" i="13"/>
  <c r="Q274" i="13"/>
  <c r="A275" i="13"/>
  <c r="O275" i="13"/>
  <c r="Q275" i="13"/>
  <c r="A276" i="13"/>
  <c r="A277" i="13"/>
  <c r="A278" i="13"/>
  <c r="A279" i="13"/>
  <c r="O279" i="13"/>
  <c r="U279" i="13" s="1"/>
  <c r="Q279" i="13"/>
  <c r="W279" i="13" s="1"/>
  <c r="E280" i="13"/>
  <c r="X280" i="13"/>
  <c r="A281" i="13"/>
  <c r="O281" i="13"/>
  <c r="Q281" i="13"/>
  <c r="X300" i="13"/>
  <c r="X299" i="13"/>
  <c r="X298" i="13"/>
  <c r="X297" i="13"/>
  <c r="X296" i="13"/>
  <c r="X295" i="13"/>
  <c r="X294" i="13"/>
  <c r="X293" i="13"/>
  <c r="X292" i="13"/>
  <c r="X291" i="13"/>
  <c r="X290" i="13"/>
  <c r="X289" i="13"/>
  <c r="X288" i="13"/>
  <c r="X287" i="13"/>
  <c r="X286" i="13"/>
  <c r="X285" i="13"/>
  <c r="X284" i="13"/>
  <c r="X283" i="13"/>
  <c r="X282" i="13"/>
  <c r="X281" i="13"/>
  <c r="A282" i="13"/>
  <c r="O282" i="13"/>
  <c r="Q282" i="13"/>
  <c r="A283" i="13"/>
  <c r="O283" i="13"/>
  <c r="Q283" i="13"/>
  <c r="A284" i="13"/>
  <c r="O284" i="13"/>
  <c r="Q284" i="13"/>
  <c r="A285" i="13"/>
  <c r="O285" i="13"/>
  <c r="Q285" i="13"/>
  <c r="A286" i="13"/>
  <c r="O286" i="13"/>
  <c r="Q286" i="13"/>
  <c r="A287" i="13"/>
  <c r="O287" i="13"/>
  <c r="Q287" i="13"/>
  <c r="A288" i="13"/>
  <c r="O288" i="13"/>
  <c r="Q288" i="13"/>
  <c r="A289" i="13"/>
  <c r="O289" i="13"/>
  <c r="Q289" i="13"/>
  <c r="A290" i="13"/>
  <c r="O290" i="13"/>
  <c r="Q290" i="13"/>
  <c r="A291" i="13"/>
  <c r="O291" i="13"/>
  <c r="Q291" i="13"/>
  <c r="A292" i="13"/>
  <c r="O292" i="13"/>
  <c r="Q292" i="13"/>
  <c r="A293" i="13"/>
  <c r="O293" i="13"/>
  <c r="Q293" i="13"/>
  <c r="A294" i="13"/>
  <c r="O294" i="13"/>
  <c r="Q294" i="13"/>
  <c r="A295" i="13"/>
  <c r="O295" i="13"/>
  <c r="Q295" i="13"/>
  <c r="A296" i="13"/>
  <c r="O296" i="13"/>
  <c r="Q296" i="13"/>
  <c r="A297" i="13"/>
  <c r="A298" i="13"/>
  <c r="A299" i="13"/>
  <c r="A300" i="13"/>
  <c r="O300" i="13"/>
  <c r="U300" i="13" s="1"/>
  <c r="Q300" i="13"/>
  <c r="W300" i="13" s="1"/>
  <c r="E301" i="13"/>
  <c r="X301" i="13"/>
  <c r="A302" i="13"/>
  <c r="O302" i="13"/>
  <c r="Q302" i="13"/>
  <c r="X321" i="13"/>
  <c r="X320" i="13"/>
  <c r="X319" i="13"/>
  <c r="X318" i="13"/>
  <c r="X317" i="13"/>
  <c r="X316" i="13"/>
  <c r="X315" i="13"/>
  <c r="X314" i="13"/>
  <c r="X313" i="13"/>
  <c r="X312" i="13"/>
  <c r="X311" i="13"/>
  <c r="X310" i="13"/>
  <c r="X309" i="13"/>
  <c r="X308" i="13"/>
  <c r="X307" i="13"/>
  <c r="X306" i="13"/>
  <c r="X305" i="13"/>
  <c r="X304" i="13"/>
  <c r="X303" i="13"/>
  <c r="X302" i="13"/>
  <c r="A303" i="13"/>
  <c r="O303" i="13"/>
  <c r="Q303" i="13"/>
  <c r="A304" i="13"/>
  <c r="O304" i="13"/>
  <c r="Q304" i="13"/>
  <c r="A305" i="13"/>
  <c r="O305" i="13"/>
  <c r="Q305" i="13"/>
  <c r="A306" i="13"/>
  <c r="O306" i="13"/>
  <c r="Q306" i="13"/>
  <c r="A307" i="13"/>
  <c r="O307" i="13"/>
  <c r="Q307" i="13"/>
  <c r="A308" i="13"/>
  <c r="O308" i="13"/>
  <c r="Q308" i="13"/>
  <c r="A309" i="13"/>
  <c r="O309" i="13"/>
  <c r="Q309" i="13"/>
  <c r="A310" i="13"/>
  <c r="O310" i="13"/>
  <c r="Q310" i="13"/>
  <c r="A311" i="13"/>
  <c r="O311" i="13"/>
  <c r="Q311" i="13"/>
  <c r="A312" i="13"/>
  <c r="O312" i="13"/>
  <c r="Q312" i="13"/>
  <c r="A313" i="13"/>
  <c r="O313" i="13"/>
  <c r="Q313" i="13"/>
  <c r="A314" i="13"/>
  <c r="O314" i="13"/>
  <c r="Q314" i="13"/>
  <c r="A315" i="13"/>
  <c r="O315" i="13"/>
  <c r="Q315" i="13"/>
  <c r="A316" i="13"/>
  <c r="O316" i="13"/>
  <c r="Q316" i="13"/>
  <c r="A317" i="13"/>
  <c r="O317" i="13"/>
  <c r="Q317" i="13"/>
  <c r="A318" i="13"/>
  <c r="A319" i="13"/>
  <c r="A320" i="13"/>
  <c r="A321" i="13"/>
  <c r="O321" i="13"/>
  <c r="U321" i="13" s="1"/>
  <c r="Q321" i="13"/>
  <c r="W321" i="13" s="1"/>
  <c r="E322" i="13"/>
  <c r="X322" i="13"/>
  <c r="A323" i="13"/>
  <c r="O323" i="13"/>
  <c r="Q323" i="13"/>
  <c r="X342" i="13"/>
  <c r="X341" i="13"/>
  <c r="X340" i="13"/>
  <c r="X339" i="13"/>
  <c r="X338" i="13"/>
  <c r="X337" i="13"/>
  <c r="X336" i="13"/>
  <c r="X335" i="13"/>
  <c r="X334" i="13"/>
  <c r="X333" i="13"/>
  <c r="X332" i="13"/>
  <c r="X331" i="13"/>
  <c r="X330" i="13"/>
  <c r="X329" i="13"/>
  <c r="X328" i="13"/>
  <c r="X327" i="13"/>
  <c r="X326" i="13"/>
  <c r="X325" i="13"/>
  <c r="X324" i="13"/>
  <c r="X323" i="13"/>
  <c r="A324" i="13"/>
  <c r="O324" i="13"/>
  <c r="Q324" i="13"/>
  <c r="A325" i="13"/>
  <c r="O325" i="13"/>
  <c r="Q325" i="13"/>
  <c r="A326" i="13"/>
  <c r="O326" i="13"/>
  <c r="Q326" i="13"/>
  <c r="A327" i="13"/>
  <c r="O327" i="13"/>
  <c r="Q327" i="13"/>
  <c r="A328" i="13"/>
  <c r="O328" i="13"/>
  <c r="Q328" i="13"/>
  <c r="A329" i="13"/>
  <c r="O329" i="13"/>
  <c r="Q329" i="13"/>
  <c r="A330" i="13"/>
  <c r="O330" i="13"/>
  <c r="Q330" i="13"/>
  <c r="A331" i="13"/>
  <c r="O331" i="13"/>
  <c r="Q331" i="13"/>
  <c r="A332" i="13"/>
  <c r="O332" i="13"/>
  <c r="Q332" i="13"/>
  <c r="A333" i="13"/>
  <c r="O333" i="13"/>
  <c r="Q333" i="13"/>
  <c r="A334" i="13"/>
  <c r="O334" i="13"/>
  <c r="Q334" i="13"/>
  <c r="A335" i="13"/>
  <c r="O335" i="13"/>
  <c r="Q335" i="13"/>
  <c r="A336" i="13"/>
  <c r="O336" i="13"/>
  <c r="Q336" i="13"/>
  <c r="A337" i="13"/>
  <c r="O337" i="13"/>
  <c r="Q337" i="13"/>
  <c r="A338" i="13"/>
  <c r="O338" i="13"/>
  <c r="Q338" i="13"/>
  <c r="A339" i="13"/>
  <c r="A340" i="13"/>
  <c r="A341" i="13"/>
  <c r="A342" i="13"/>
  <c r="O342" i="13"/>
  <c r="U342" i="13" s="1"/>
  <c r="Q342" i="13"/>
  <c r="W342" i="13" s="1"/>
  <c r="E343" i="13"/>
  <c r="X343" i="13"/>
  <c r="A344" i="13"/>
  <c r="O344" i="13"/>
  <c r="Q344" i="13"/>
  <c r="X363" i="13"/>
  <c r="X362" i="13"/>
  <c r="X361" i="13"/>
  <c r="X360" i="13"/>
  <c r="X359" i="13"/>
  <c r="X358" i="13"/>
  <c r="X357" i="13"/>
  <c r="X356" i="13"/>
  <c r="X355" i="13"/>
  <c r="X354" i="13"/>
  <c r="X353" i="13"/>
  <c r="X352" i="13"/>
  <c r="X351" i="13"/>
  <c r="X350" i="13"/>
  <c r="X349" i="13"/>
  <c r="X348" i="13"/>
  <c r="X347" i="13"/>
  <c r="X346" i="13"/>
  <c r="X345" i="13"/>
  <c r="X344" i="13"/>
  <c r="A345" i="13"/>
  <c r="O345" i="13"/>
  <c r="Q345" i="13"/>
  <c r="A346" i="13"/>
  <c r="O346" i="13"/>
  <c r="Q346" i="13"/>
  <c r="A347" i="13"/>
  <c r="O347" i="13"/>
  <c r="Q347" i="13"/>
  <c r="A348" i="13"/>
  <c r="O348" i="13"/>
  <c r="Q348" i="13"/>
  <c r="A349" i="13"/>
  <c r="O349" i="13"/>
  <c r="Q349" i="13"/>
  <c r="A350" i="13"/>
  <c r="O350" i="13"/>
  <c r="Q350" i="13"/>
  <c r="A351" i="13"/>
  <c r="O351" i="13"/>
  <c r="Q351" i="13"/>
  <c r="A352" i="13"/>
  <c r="O352" i="13"/>
  <c r="Q352" i="13"/>
  <c r="A353" i="13"/>
  <c r="O353" i="13"/>
  <c r="Q353" i="13"/>
  <c r="A354" i="13"/>
  <c r="O354" i="13"/>
  <c r="Q354" i="13"/>
  <c r="A355" i="13"/>
  <c r="O355" i="13"/>
  <c r="Q355" i="13"/>
  <c r="A356" i="13"/>
  <c r="O356" i="13"/>
  <c r="Q356" i="13"/>
  <c r="A357" i="13"/>
  <c r="O357" i="13"/>
  <c r="Q357" i="13"/>
  <c r="A358" i="13"/>
  <c r="O358" i="13"/>
  <c r="Q358" i="13"/>
  <c r="A359" i="13"/>
  <c r="O359" i="13"/>
  <c r="Q359" i="13"/>
  <c r="A360" i="13"/>
  <c r="A361" i="13"/>
  <c r="A362" i="13"/>
  <c r="A363" i="13"/>
  <c r="O363" i="13"/>
  <c r="U363" i="13" s="1"/>
  <c r="Q363" i="13"/>
  <c r="W363" i="13" s="1"/>
  <c r="E364" i="13"/>
  <c r="X364" i="13"/>
  <c r="A365" i="13"/>
  <c r="O365" i="13"/>
  <c r="Q365" i="13"/>
  <c r="X384" i="13"/>
  <c r="X383" i="13"/>
  <c r="X382" i="13"/>
  <c r="X381" i="13"/>
  <c r="X380" i="13"/>
  <c r="X379" i="13"/>
  <c r="X378" i="13"/>
  <c r="X377" i="13"/>
  <c r="X376" i="13"/>
  <c r="X375" i="13"/>
  <c r="X374" i="13"/>
  <c r="X373" i="13"/>
  <c r="X372" i="13"/>
  <c r="X371" i="13"/>
  <c r="X370" i="13"/>
  <c r="X369" i="13"/>
  <c r="X368" i="13"/>
  <c r="X367" i="13"/>
  <c r="X366" i="13"/>
  <c r="X365" i="13"/>
  <c r="A366" i="13"/>
  <c r="O366" i="13"/>
  <c r="Q366" i="13"/>
  <c r="A367" i="13"/>
  <c r="O367" i="13"/>
  <c r="Q367" i="13"/>
  <c r="A368" i="13"/>
  <c r="O368" i="13"/>
  <c r="Q368" i="13"/>
  <c r="A369" i="13"/>
  <c r="O369" i="13"/>
  <c r="Q369" i="13"/>
  <c r="A370" i="13"/>
  <c r="O370" i="13"/>
  <c r="Q370" i="13"/>
  <c r="A371" i="13"/>
  <c r="O371" i="13"/>
  <c r="Q371" i="13"/>
  <c r="A372" i="13"/>
  <c r="O372" i="13"/>
  <c r="Q372" i="13"/>
  <c r="A373" i="13"/>
  <c r="O373" i="13"/>
  <c r="Q373" i="13"/>
  <c r="A374" i="13"/>
  <c r="O374" i="13"/>
  <c r="Q374" i="13"/>
  <c r="A375" i="13"/>
  <c r="O375" i="13"/>
  <c r="Q375" i="13"/>
  <c r="A376" i="13"/>
  <c r="O376" i="13"/>
  <c r="Q376" i="13"/>
  <c r="A377" i="13"/>
  <c r="O377" i="13"/>
  <c r="Q377" i="13"/>
  <c r="A378" i="13"/>
  <c r="O378" i="13"/>
  <c r="Q378" i="13"/>
  <c r="A379" i="13"/>
  <c r="O379" i="13"/>
  <c r="Q379" i="13"/>
  <c r="A380" i="13"/>
  <c r="O380" i="13"/>
  <c r="Q380" i="13"/>
  <c r="A381" i="13"/>
  <c r="A382" i="13"/>
  <c r="A383" i="13"/>
  <c r="A384" i="13"/>
  <c r="O384" i="13"/>
  <c r="U384" i="13" s="1"/>
  <c r="Q384" i="13"/>
  <c r="W384" i="13" s="1"/>
  <c r="E385" i="13"/>
  <c r="X385" i="13"/>
  <c r="A386" i="13"/>
  <c r="O386" i="13"/>
  <c r="Q386" i="13"/>
  <c r="X405" i="13"/>
  <c r="X404" i="13"/>
  <c r="X403" i="13"/>
  <c r="X402" i="13"/>
  <c r="X401" i="13"/>
  <c r="X400" i="13"/>
  <c r="X399" i="13"/>
  <c r="X398" i="13"/>
  <c r="X397" i="13"/>
  <c r="X396" i="13"/>
  <c r="X395" i="13"/>
  <c r="X394" i="13"/>
  <c r="X393" i="13"/>
  <c r="X392" i="13"/>
  <c r="X391" i="13"/>
  <c r="X390" i="13"/>
  <c r="X389" i="13"/>
  <c r="X388" i="13"/>
  <c r="X387" i="13"/>
  <c r="X386" i="13"/>
  <c r="A387" i="13"/>
  <c r="O387" i="13"/>
  <c r="Q387" i="13"/>
  <c r="A388" i="13"/>
  <c r="O388" i="13"/>
  <c r="Q388" i="13"/>
  <c r="A389" i="13"/>
  <c r="O389" i="13"/>
  <c r="Q389" i="13"/>
  <c r="A390" i="13"/>
  <c r="O390" i="13"/>
  <c r="Q390" i="13"/>
  <c r="A391" i="13"/>
  <c r="O391" i="13"/>
  <c r="Q391" i="13"/>
  <c r="A392" i="13"/>
  <c r="O392" i="13"/>
  <c r="Q392" i="13"/>
  <c r="A393" i="13"/>
  <c r="O393" i="13"/>
  <c r="Q393" i="13"/>
  <c r="A394" i="13"/>
  <c r="O394" i="13"/>
  <c r="Q394" i="13"/>
  <c r="A395" i="13"/>
  <c r="O395" i="13"/>
  <c r="Q395" i="13"/>
  <c r="A396" i="13"/>
  <c r="O396" i="13"/>
  <c r="Q396" i="13"/>
  <c r="A397" i="13"/>
  <c r="O397" i="13"/>
  <c r="Q397" i="13"/>
  <c r="A398" i="13"/>
  <c r="O398" i="13"/>
  <c r="Q398" i="13"/>
  <c r="A399" i="13"/>
  <c r="O399" i="13"/>
  <c r="Q399" i="13"/>
  <c r="A400" i="13"/>
  <c r="O400" i="13"/>
  <c r="Q400" i="13"/>
  <c r="A401" i="13"/>
  <c r="O401" i="13"/>
  <c r="Q401" i="13"/>
  <c r="A402" i="13"/>
  <c r="A403" i="13"/>
  <c r="A404" i="13"/>
  <c r="A405" i="13"/>
  <c r="O405" i="13"/>
  <c r="U405" i="13" s="1"/>
  <c r="Q405" i="13"/>
  <c r="W405" i="13" s="1"/>
  <c r="E406" i="13"/>
  <c r="X406" i="13"/>
  <c r="A407" i="13"/>
  <c r="O407" i="13"/>
  <c r="Q407" i="13"/>
  <c r="X426" i="13"/>
  <c r="X425" i="13"/>
  <c r="X424" i="13"/>
  <c r="X423" i="13"/>
  <c r="X422" i="13"/>
  <c r="X421" i="13"/>
  <c r="X420" i="13"/>
  <c r="X419" i="13"/>
  <c r="X418" i="13"/>
  <c r="X417" i="13"/>
  <c r="X416" i="13"/>
  <c r="X415" i="13"/>
  <c r="X414" i="13"/>
  <c r="X413" i="13"/>
  <c r="X412" i="13"/>
  <c r="X411" i="13"/>
  <c r="X410" i="13"/>
  <c r="X409" i="13"/>
  <c r="X408" i="13"/>
  <c r="X407" i="13"/>
  <c r="A408" i="13"/>
  <c r="O408" i="13"/>
  <c r="Q408" i="13"/>
  <c r="A409" i="13"/>
  <c r="O409" i="13"/>
  <c r="Q409" i="13"/>
  <c r="A410" i="13"/>
  <c r="O410" i="13"/>
  <c r="Q410" i="13"/>
  <c r="A411" i="13"/>
  <c r="O411" i="13"/>
  <c r="Q411" i="13"/>
  <c r="A412" i="13"/>
  <c r="O412" i="13"/>
  <c r="Q412" i="13"/>
  <c r="A413" i="13"/>
  <c r="O413" i="13"/>
  <c r="Q413" i="13"/>
  <c r="A414" i="13"/>
  <c r="O414" i="13"/>
  <c r="Q414" i="13"/>
  <c r="A415" i="13"/>
  <c r="O415" i="13"/>
  <c r="Q415" i="13"/>
  <c r="A416" i="13"/>
  <c r="O416" i="13"/>
  <c r="Q416" i="13"/>
  <c r="A417" i="13"/>
  <c r="O417" i="13"/>
  <c r="Q417" i="13"/>
  <c r="A418" i="13"/>
  <c r="O418" i="13"/>
  <c r="Q418" i="13"/>
  <c r="A419" i="13"/>
  <c r="O419" i="13"/>
  <c r="Q419" i="13"/>
  <c r="A420" i="13"/>
  <c r="O420" i="13"/>
  <c r="Q420" i="13"/>
  <c r="A421" i="13"/>
  <c r="O421" i="13"/>
  <c r="Q421" i="13"/>
  <c r="A422" i="13"/>
  <c r="O422" i="13"/>
  <c r="Q422" i="13"/>
  <c r="A423" i="13"/>
  <c r="A424" i="13"/>
  <c r="A425" i="13"/>
  <c r="A426" i="13"/>
  <c r="O426" i="13"/>
  <c r="U426" i="13" s="1"/>
  <c r="Q426" i="13"/>
  <c r="W426" i="13" s="1"/>
  <c r="E427" i="13"/>
  <c r="X427" i="13"/>
  <c r="A8" i="12"/>
  <c r="O8" i="12"/>
  <c r="Q8" i="12"/>
  <c r="X27" i="12"/>
  <c r="X26" i="12"/>
  <c r="X25" i="12"/>
  <c r="X24" i="12"/>
  <c r="X23" i="12"/>
  <c r="X22" i="12"/>
  <c r="X21" i="12"/>
  <c r="X20" i="12"/>
  <c r="X19" i="12"/>
  <c r="X18" i="12"/>
  <c r="X17" i="12"/>
  <c r="X16" i="12"/>
  <c r="X15" i="12"/>
  <c r="X14" i="12"/>
  <c r="X13" i="12"/>
  <c r="X12" i="12"/>
  <c r="X11" i="12"/>
  <c r="X10" i="12"/>
  <c r="X9" i="12"/>
  <c r="X8" i="12"/>
  <c r="A9" i="12"/>
  <c r="O9" i="12"/>
  <c r="Q9" i="12"/>
  <c r="A10" i="12"/>
  <c r="O10" i="12"/>
  <c r="Q10" i="12"/>
  <c r="A11" i="12"/>
  <c r="O11" i="12"/>
  <c r="Q11" i="12"/>
  <c r="A12" i="12"/>
  <c r="O12" i="12"/>
  <c r="Q12" i="12"/>
  <c r="A13" i="12"/>
  <c r="O13" i="12"/>
  <c r="Q13" i="12"/>
  <c r="A14" i="12"/>
  <c r="O14" i="12"/>
  <c r="Q14" i="12"/>
  <c r="A15" i="12"/>
  <c r="O15" i="12"/>
  <c r="Q15" i="12"/>
  <c r="A16" i="12"/>
  <c r="O16" i="12"/>
  <c r="Q16" i="12"/>
  <c r="A17" i="12"/>
  <c r="O17" i="12"/>
  <c r="Q17" i="12"/>
  <c r="A18" i="12"/>
  <c r="O18" i="12"/>
  <c r="Q18" i="12"/>
  <c r="A19" i="12"/>
  <c r="O19" i="12"/>
  <c r="Q19" i="12"/>
  <c r="A20" i="12"/>
  <c r="O20" i="12"/>
  <c r="Q20" i="12"/>
  <c r="A21" i="12"/>
  <c r="O21" i="12"/>
  <c r="Q21" i="12"/>
  <c r="A22" i="12"/>
  <c r="O22" i="12"/>
  <c r="Q22" i="12"/>
  <c r="A23" i="12"/>
  <c r="O23" i="12"/>
  <c r="Q23" i="12"/>
  <c r="A24" i="12"/>
  <c r="A25" i="12"/>
  <c r="A26" i="12"/>
  <c r="A27" i="12"/>
  <c r="O27" i="12"/>
  <c r="U27" i="12" s="1"/>
  <c r="Q27" i="12"/>
  <c r="W27" i="12" s="1"/>
  <c r="E28" i="12"/>
  <c r="X28" i="12"/>
  <c r="A29" i="12"/>
  <c r="O29" i="12"/>
  <c r="Q29" i="12"/>
  <c r="X48" i="12"/>
  <c r="X47" i="12"/>
  <c r="X46" i="12"/>
  <c r="X45" i="12"/>
  <c r="X44" i="12"/>
  <c r="X43" i="12"/>
  <c r="X42" i="12"/>
  <c r="X41" i="12"/>
  <c r="X40" i="12"/>
  <c r="X39" i="12"/>
  <c r="X38" i="12"/>
  <c r="X37" i="12"/>
  <c r="X36" i="12"/>
  <c r="X35" i="12"/>
  <c r="X34" i="12"/>
  <c r="X33" i="12"/>
  <c r="X32" i="12"/>
  <c r="X31" i="12"/>
  <c r="X30" i="12"/>
  <c r="X29" i="12"/>
  <c r="A30" i="12"/>
  <c r="O30" i="12"/>
  <c r="Q30" i="12"/>
  <c r="A31" i="12"/>
  <c r="O31" i="12"/>
  <c r="Q31" i="12"/>
  <c r="A32" i="12"/>
  <c r="O32" i="12"/>
  <c r="Q32" i="12"/>
  <c r="A33" i="12"/>
  <c r="O33" i="12"/>
  <c r="Q33" i="12"/>
  <c r="A34" i="12"/>
  <c r="O34" i="12"/>
  <c r="Q34" i="12"/>
  <c r="A35" i="12"/>
  <c r="O35" i="12"/>
  <c r="Q35" i="12"/>
  <c r="A36" i="12"/>
  <c r="O36" i="12"/>
  <c r="Q36" i="12"/>
  <c r="A37" i="12"/>
  <c r="O37" i="12"/>
  <c r="Q37" i="12"/>
  <c r="A38" i="12"/>
  <c r="O38" i="12"/>
  <c r="Q38" i="12"/>
  <c r="A39" i="12"/>
  <c r="O39" i="12"/>
  <c r="Q39" i="12"/>
  <c r="A40" i="12"/>
  <c r="O40" i="12"/>
  <c r="Q40" i="12"/>
  <c r="A41" i="12"/>
  <c r="O41" i="12"/>
  <c r="Q41" i="12"/>
  <c r="A42" i="12"/>
  <c r="O42" i="12"/>
  <c r="Q42" i="12"/>
  <c r="A43" i="12"/>
  <c r="O43" i="12"/>
  <c r="Q43" i="12"/>
  <c r="A44" i="12"/>
  <c r="O44" i="12"/>
  <c r="Q44" i="12"/>
  <c r="A45" i="12"/>
  <c r="A46" i="12"/>
  <c r="A47" i="12"/>
  <c r="A48" i="12"/>
  <c r="O48" i="12"/>
  <c r="U48" i="12" s="1"/>
  <c r="Q48" i="12"/>
  <c r="W48" i="12" s="1"/>
  <c r="E49" i="12"/>
  <c r="X49" i="12"/>
  <c r="A50" i="12"/>
  <c r="O50" i="12"/>
  <c r="Q50" i="12"/>
  <c r="X69" i="12"/>
  <c r="X68" i="12"/>
  <c r="X67" i="12"/>
  <c r="X66" i="12"/>
  <c r="X65" i="12"/>
  <c r="X64" i="12"/>
  <c r="X63" i="12"/>
  <c r="X62" i="12"/>
  <c r="X61" i="12"/>
  <c r="X60" i="12"/>
  <c r="X59" i="12"/>
  <c r="X58" i="12"/>
  <c r="X57" i="12"/>
  <c r="X56" i="12"/>
  <c r="X55" i="12"/>
  <c r="X54" i="12"/>
  <c r="X53" i="12"/>
  <c r="X52" i="12"/>
  <c r="X51" i="12"/>
  <c r="X50" i="12"/>
  <c r="A51" i="12"/>
  <c r="O51" i="12"/>
  <c r="Q51" i="12"/>
  <c r="A52" i="12"/>
  <c r="O52" i="12"/>
  <c r="Q52" i="12"/>
  <c r="A53" i="12"/>
  <c r="O53" i="12"/>
  <c r="Q53" i="12"/>
  <c r="A54" i="12"/>
  <c r="O54" i="12"/>
  <c r="Q54" i="12"/>
  <c r="A55" i="12"/>
  <c r="O55" i="12"/>
  <c r="Q55" i="12"/>
  <c r="A56" i="12"/>
  <c r="O56" i="12"/>
  <c r="Q56" i="12"/>
  <c r="A57" i="12"/>
  <c r="O57" i="12"/>
  <c r="Q57" i="12"/>
  <c r="A58" i="12"/>
  <c r="O58" i="12"/>
  <c r="Q58" i="12"/>
  <c r="A59" i="12"/>
  <c r="O59" i="12"/>
  <c r="Q59" i="12"/>
  <c r="A60" i="12"/>
  <c r="O60" i="12"/>
  <c r="Q60" i="12"/>
  <c r="A61" i="12"/>
  <c r="O61" i="12"/>
  <c r="Q61" i="12"/>
  <c r="A62" i="12"/>
  <c r="O62" i="12"/>
  <c r="Q62" i="12"/>
  <c r="A63" i="12"/>
  <c r="O63" i="12"/>
  <c r="Q63" i="12"/>
  <c r="A64" i="12"/>
  <c r="O64" i="12"/>
  <c r="Q64" i="12"/>
  <c r="A65" i="12"/>
  <c r="O65" i="12"/>
  <c r="Q65" i="12"/>
  <c r="A66" i="12"/>
  <c r="A67" i="12"/>
  <c r="A68" i="12"/>
  <c r="A69" i="12"/>
  <c r="O69" i="12"/>
  <c r="U69" i="12" s="1"/>
  <c r="Q69" i="12"/>
  <c r="W69" i="12" s="1"/>
  <c r="E70" i="12"/>
  <c r="X70" i="12"/>
  <c r="A71" i="12"/>
  <c r="O71" i="12"/>
  <c r="Q71" i="12"/>
  <c r="X90" i="12"/>
  <c r="X89" i="12"/>
  <c r="X88" i="12"/>
  <c r="X87" i="12"/>
  <c r="X86" i="12"/>
  <c r="X85" i="12"/>
  <c r="X84" i="12"/>
  <c r="X83" i="12"/>
  <c r="X82" i="12"/>
  <c r="X81" i="12"/>
  <c r="X80" i="12"/>
  <c r="X79" i="12"/>
  <c r="X78" i="12"/>
  <c r="X77" i="12"/>
  <c r="X76" i="12"/>
  <c r="X75" i="12"/>
  <c r="X74" i="12"/>
  <c r="X73" i="12"/>
  <c r="X72" i="12"/>
  <c r="X71" i="12"/>
  <c r="A72" i="12"/>
  <c r="O72" i="12"/>
  <c r="Q72" i="12"/>
  <c r="A73" i="12"/>
  <c r="O73" i="12"/>
  <c r="Q73" i="12"/>
  <c r="A74" i="12"/>
  <c r="O74" i="12"/>
  <c r="Q74" i="12"/>
  <c r="A75" i="12"/>
  <c r="O75" i="12"/>
  <c r="Q75" i="12"/>
  <c r="A76" i="12"/>
  <c r="O76" i="12"/>
  <c r="Q76" i="12"/>
  <c r="A77" i="12"/>
  <c r="O77" i="12"/>
  <c r="Q77" i="12"/>
  <c r="A78" i="12"/>
  <c r="O78" i="12"/>
  <c r="Q78" i="12"/>
  <c r="A79" i="12"/>
  <c r="O79" i="12"/>
  <c r="Q79" i="12"/>
  <c r="A80" i="12"/>
  <c r="O80" i="12"/>
  <c r="Q80" i="12"/>
  <c r="A81" i="12"/>
  <c r="O81" i="12"/>
  <c r="Q81" i="12"/>
  <c r="A82" i="12"/>
  <c r="O82" i="12"/>
  <c r="Q82" i="12"/>
  <c r="A83" i="12"/>
  <c r="O83" i="12"/>
  <c r="Q83" i="12"/>
  <c r="A84" i="12"/>
  <c r="O84" i="12"/>
  <c r="Q84" i="12"/>
  <c r="A85" i="12"/>
  <c r="O85" i="12"/>
  <c r="Q85" i="12"/>
  <c r="A86" i="12"/>
  <c r="O86" i="12"/>
  <c r="Q86" i="12"/>
  <c r="A87" i="12"/>
  <c r="A88" i="12"/>
  <c r="A89" i="12"/>
  <c r="A90" i="12"/>
  <c r="O90" i="12"/>
  <c r="U90" i="12" s="1"/>
  <c r="Q90" i="12"/>
  <c r="W90" i="12" s="1"/>
  <c r="E91" i="12"/>
  <c r="X91" i="12"/>
  <c r="A92" i="12"/>
  <c r="O92" i="12"/>
  <c r="Q92" i="12"/>
  <c r="X111" i="12"/>
  <c r="X110" i="12"/>
  <c r="X109" i="12"/>
  <c r="X108" i="12"/>
  <c r="X107" i="12"/>
  <c r="X106" i="12"/>
  <c r="X105" i="12"/>
  <c r="X104" i="12"/>
  <c r="X103" i="12"/>
  <c r="X102" i="12"/>
  <c r="X101" i="12"/>
  <c r="X100" i="12"/>
  <c r="X99" i="12"/>
  <c r="X98" i="12"/>
  <c r="X97" i="12"/>
  <c r="X96" i="12"/>
  <c r="X95" i="12"/>
  <c r="X94" i="12"/>
  <c r="X93" i="12"/>
  <c r="X92" i="12"/>
  <c r="A93" i="12"/>
  <c r="O93" i="12"/>
  <c r="Q93" i="12"/>
  <c r="A94" i="12"/>
  <c r="O94" i="12"/>
  <c r="Q94" i="12"/>
  <c r="A95" i="12"/>
  <c r="O95" i="12"/>
  <c r="Q95" i="12"/>
  <c r="A96" i="12"/>
  <c r="O96" i="12"/>
  <c r="Q96" i="12"/>
  <c r="A97" i="12"/>
  <c r="O97" i="12"/>
  <c r="Q97" i="12"/>
  <c r="A98" i="12"/>
  <c r="O98" i="12"/>
  <c r="Q98" i="12"/>
  <c r="A99" i="12"/>
  <c r="O99" i="12"/>
  <c r="Q99" i="12"/>
  <c r="A100" i="12"/>
  <c r="O100" i="12"/>
  <c r="Q100" i="12"/>
  <c r="A101" i="12"/>
  <c r="O101" i="12"/>
  <c r="Q101" i="12"/>
  <c r="A102" i="12"/>
  <c r="O102" i="12"/>
  <c r="Q102" i="12"/>
  <c r="A103" i="12"/>
  <c r="O103" i="12"/>
  <c r="Q103" i="12"/>
  <c r="A104" i="12"/>
  <c r="O104" i="12"/>
  <c r="Q104" i="12"/>
  <c r="A105" i="12"/>
  <c r="O105" i="12"/>
  <c r="Q105" i="12"/>
  <c r="A106" i="12"/>
  <c r="O106" i="12"/>
  <c r="Q106" i="12"/>
  <c r="A107" i="12"/>
  <c r="O107" i="12"/>
  <c r="Q107" i="12"/>
  <c r="A108" i="12"/>
  <c r="A109" i="12"/>
  <c r="A110" i="12"/>
  <c r="A111" i="12"/>
  <c r="O111" i="12"/>
  <c r="U111" i="12" s="1"/>
  <c r="Q111" i="12"/>
  <c r="W111" i="12" s="1"/>
  <c r="E112" i="12"/>
  <c r="X112" i="12"/>
  <c r="A113" i="12"/>
  <c r="O113" i="12"/>
  <c r="Q113" i="12"/>
  <c r="X132" i="12"/>
  <c r="X131" i="12"/>
  <c r="X130" i="12"/>
  <c r="X129" i="12"/>
  <c r="X128" i="12"/>
  <c r="X127" i="12"/>
  <c r="X126" i="12"/>
  <c r="X125" i="12"/>
  <c r="X124" i="12"/>
  <c r="X123" i="12"/>
  <c r="X122" i="12"/>
  <c r="X121" i="12"/>
  <c r="X120" i="12"/>
  <c r="X119" i="12"/>
  <c r="X118" i="12"/>
  <c r="X117" i="12"/>
  <c r="X116" i="12"/>
  <c r="X115" i="12"/>
  <c r="X114" i="12"/>
  <c r="X113" i="12"/>
  <c r="A114" i="12"/>
  <c r="O114" i="12"/>
  <c r="Q114" i="12"/>
  <c r="A115" i="12"/>
  <c r="O115" i="12"/>
  <c r="Q115" i="12"/>
  <c r="A116" i="12"/>
  <c r="O116" i="12"/>
  <c r="Q116" i="12"/>
  <c r="A117" i="12"/>
  <c r="O117" i="12"/>
  <c r="Q117" i="12"/>
  <c r="A118" i="12"/>
  <c r="O118" i="12"/>
  <c r="Q118" i="12"/>
  <c r="A119" i="12"/>
  <c r="O119" i="12"/>
  <c r="Q119" i="12"/>
  <c r="A120" i="12"/>
  <c r="O120" i="12"/>
  <c r="Q120" i="12"/>
  <c r="A121" i="12"/>
  <c r="O121" i="12"/>
  <c r="Q121" i="12"/>
  <c r="A122" i="12"/>
  <c r="O122" i="12"/>
  <c r="Q122" i="12"/>
  <c r="A123" i="12"/>
  <c r="O123" i="12"/>
  <c r="Q123" i="12"/>
  <c r="A124" i="12"/>
  <c r="O124" i="12"/>
  <c r="Q124" i="12"/>
  <c r="A125" i="12"/>
  <c r="O125" i="12"/>
  <c r="Q125" i="12"/>
  <c r="A126" i="12"/>
  <c r="O126" i="12"/>
  <c r="Q126" i="12"/>
  <c r="A127" i="12"/>
  <c r="O127" i="12"/>
  <c r="Q127" i="12"/>
  <c r="A128" i="12"/>
  <c r="O128" i="12"/>
  <c r="Q128" i="12"/>
  <c r="A129" i="12"/>
  <c r="A130" i="12"/>
  <c r="A131" i="12"/>
  <c r="A132" i="12"/>
  <c r="O132" i="12"/>
  <c r="U132" i="12" s="1"/>
  <c r="Q132" i="12"/>
  <c r="W132" i="12" s="1"/>
  <c r="E133" i="12"/>
  <c r="X133" i="12"/>
  <c r="A134" i="12"/>
  <c r="O134" i="12"/>
  <c r="Q134" i="12"/>
  <c r="X153" i="12"/>
  <c r="X152" i="12"/>
  <c r="X151" i="12"/>
  <c r="X150" i="12"/>
  <c r="X149" i="12"/>
  <c r="X148" i="12"/>
  <c r="X147" i="12"/>
  <c r="X146" i="12"/>
  <c r="X145" i="12"/>
  <c r="X144" i="12"/>
  <c r="X143" i="12"/>
  <c r="X142" i="12"/>
  <c r="X141" i="12"/>
  <c r="X140" i="12"/>
  <c r="X139" i="12"/>
  <c r="X138" i="12"/>
  <c r="X137" i="12"/>
  <c r="X136" i="12"/>
  <c r="X135" i="12"/>
  <c r="X134" i="12"/>
  <c r="A135" i="12"/>
  <c r="O135" i="12"/>
  <c r="Q135" i="12"/>
  <c r="A136" i="12"/>
  <c r="O136" i="12"/>
  <c r="Q136" i="12"/>
  <c r="A137" i="12"/>
  <c r="O137" i="12"/>
  <c r="Q137" i="12"/>
  <c r="A138" i="12"/>
  <c r="O138" i="12"/>
  <c r="Q138" i="12"/>
  <c r="A139" i="12"/>
  <c r="O139" i="12"/>
  <c r="Q139" i="12"/>
  <c r="A140" i="12"/>
  <c r="O140" i="12"/>
  <c r="Q140" i="12"/>
  <c r="A141" i="12"/>
  <c r="O141" i="12"/>
  <c r="Q141" i="12"/>
  <c r="A142" i="12"/>
  <c r="O142" i="12"/>
  <c r="Q142" i="12"/>
  <c r="A143" i="12"/>
  <c r="O143" i="12"/>
  <c r="Q143" i="12"/>
  <c r="A144" i="12"/>
  <c r="O144" i="12"/>
  <c r="Q144" i="12"/>
  <c r="A145" i="12"/>
  <c r="O145" i="12"/>
  <c r="Q145" i="12"/>
  <c r="A146" i="12"/>
  <c r="O146" i="12"/>
  <c r="Q146" i="12"/>
  <c r="A147" i="12"/>
  <c r="O147" i="12"/>
  <c r="Q147" i="12"/>
  <c r="A148" i="12"/>
  <c r="O148" i="12"/>
  <c r="Q148" i="12"/>
  <c r="A149" i="12"/>
  <c r="O149" i="12"/>
  <c r="Q149" i="12"/>
  <c r="A150" i="12"/>
  <c r="A151" i="12"/>
  <c r="A152" i="12"/>
  <c r="A153" i="12"/>
  <c r="O153" i="12"/>
  <c r="U153" i="12" s="1"/>
  <c r="Q153" i="12"/>
  <c r="W153" i="12" s="1"/>
  <c r="E154" i="12"/>
  <c r="X154" i="12"/>
  <c r="A155" i="12"/>
  <c r="O155" i="12"/>
  <c r="Q155" i="12"/>
  <c r="X174" i="12"/>
  <c r="X173" i="12"/>
  <c r="X172" i="12"/>
  <c r="X171" i="12"/>
  <c r="X170" i="12"/>
  <c r="X169" i="12"/>
  <c r="X168" i="12"/>
  <c r="X167" i="12"/>
  <c r="X166" i="12"/>
  <c r="X165" i="12"/>
  <c r="X164" i="12"/>
  <c r="X163" i="12"/>
  <c r="X162" i="12"/>
  <c r="X161" i="12"/>
  <c r="X160" i="12"/>
  <c r="X159" i="12"/>
  <c r="X158" i="12"/>
  <c r="X157" i="12"/>
  <c r="X156" i="12"/>
  <c r="X155" i="12"/>
  <c r="A156" i="12"/>
  <c r="O156" i="12"/>
  <c r="Q156" i="12"/>
  <c r="A157" i="12"/>
  <c r="O157" i="12"/>
  <c r="Q157" i="12"/>
  <c r="A158" i="12"/>
  <c r="O158" i="12"/>
  <c r="Q158" i="12"/>
  <c r="A159" i="12"/>
  <c r="O159" i="12"/>
  <c r="Q159" i="12"/>
  <c r="A160" i="12"/>
  <c r="O160" i="12"/>
  <c r="Q160" i="12"/>
  <c r="A161" i="12"/>
  <c r="O161" i="12"/>
  <c r="Q161" i="12"/>
  <c r="A162" i="12"/>
  <c r="O162" i="12"/>
  <c r="Q162" i="12"/>
  <c r="A163" i="12"/>
  <c r="O163" i="12"/>
  <c r="Q163" i="12"/>
  <c r="A164" i="12"/>
  <c r="O164" i="12"/>
  <c r="Q164" i="12"/>
  <c r="A165" i="12"/>
  <c r="O165" i="12"/>
  <c r="Q165" i="12"/>
  <c r="A166" i="12"/>
  <c r="O166" i="12"/>
  <c r="Q166" i="12"/>
  <c r="A167" i="12"/>
  <c r="O167" i="12"/>
  <c r="Q167" i="12"/>
  <c r="A168" i="12"/>
  <c r="O168" i="12"/>
  <c r="Q168" i="12"/>
  <c r="A169" i="12"/>
  <c r="O169" i="12"/>
  <c r="Q169" i="12"/>
  <c r="A170" i="12"/>
  <c r="O170" i="12"/>
  <c r="Q170" i="12"/>
  <c r="A171" i="12"/>
  <c r="A172" i="12"/>
  <c r="A173" i="12"/>
  <c r="A174" i="12"/>
  <c r="O174" i="12"/>
  <c r="U174" i="12" s="1"/>
  <c r="Q174" i="12"/>
  <c r="W174" i="12" s="1"/>
  <c r="E175" i="12"/>
  <c r="X175" i="12"/>
  <c r="A176" i="12"/>
  <c r="O176" i="12"/>
  <c r="Q176" i="12"/>
  <c r="X195" i="12"/>
  <c r="X194" i="12"/>
  <c r="X193" i="12"/>
  <c r="X192" i="12"/>
  <c r="X191" i="12"/>
  <c r="X190" i="12"/>
  <c r="X189" i="12"/>
  <c r="X188" i="12"/>
  <c r="X187" i="12"/>
  <c r="X186" i="12"/>
  <c r="X185" i="12"/>
  <c r="X184" i="12"/>
  <c r="X183" i="12"/>
  <c r="X182" i="12"/>
  <c r="X181" i="12"/>
  <c r="X180" i="12"/>
  <c r="X179" i="12"/>
  <c r="X178" i="12"/>
  <c r="X177" i="12"/>
  <c r="X176" i="12"/>
  <c r="A177" i="12"/>
  <c r="O177" i="12"/>
  <c r="Q177" i="12"/>
  <c r="A178" i="12"/>
  <c r="O178" i="12"/>
  <c r="Q178" i="12"/>
  <c r="A179" i="12"/>
  <c r="O179" i="12"/>
  <c r="Q179" i="12"/>
  <c r="A180" i="12"/>
  <c r="O180" i="12"/>
  <c r="Q180" i="12"/>
  <c r="A181" i="12"/>
  <c r="O181" i="12"/>
  <c r="Q181" i="12"/>
  <c r="A182" i="12"/>
  <c r="O182" i="12"/>
  <c r="Q182" i="12"/>
  <c r="A183" i="12"/>
  <c r="O183" i="12"/>
  <c r="Q183" i="12"/>
  <c r="A184" i="12"/>
  <c r="O184" i="12"/>
  <c r="Q184" i="12"/>
  <c r="A185" i="12"/>
  <c r="O185" i="12"/>
  <c r="Q185" i="12"/>
  <c r="A186" i="12"/>
  <c r="O186" i="12"/>
  <c r="Q186" i="12"/>
  <c r="A187" i="12"/>
  <c r="O187" i="12"/>
  <c r="Q187" i="12"/>
  <c r="A188" i="12"/>
  <c r="O188" i="12"/>
  <c r="Q188" i="12"/>
  <c r="A189" i="12"/>
  <c r="O189" i="12"/>
  <c r="Q189" i="12"/>
  <c r="A190" i="12"/>
  <c r="O190" i="12"/>
  <c r="Q190" i="12"/>
  <c r="A191" i="12"/>
  <c r="O191" i="12"/>
  <c r="Q191" i="12"/>
  <c r="A192" i="12"/>
  <c r="A193" i="12"/>
  <c r="A194" i="12"/>
  <c r="A195" i="12"/>
  <c r="O195" i="12"/>
  <c r="U195" i="12" s="1"/>
  <c r="Q195" i="12"/>
  <c r="W195" i="12" s="1"/>
  <c r="E196" i="12"/>
  <c r="X196" i="12"/>
  <c r="A197" i="12"/>
  <c r="O197" i="12"/>
  <c r="Q197" i="12"/>
  <c r="X216" i="12"/>
  <c r="X215" i="12"/>
  <c r="X214" i="12"/>
  <c r="X213" i="12"/>
  <c r="X212" i="12"/>
  <c r="X211" i="12"/>
  <c r="X210" i="12"/>
  <c r="X209" i="12"/>
  <c r="X208" i="12"/>
  <c r="X207" i="12"/>
  <c r="X206" i="12"/>
  <c r="X205" i="12"/>
  <c r="X204" i="12"/>
  <c r="X203" i="12"/>
  <c r="X202" i="12"/>
  <c r="X201" i="12"/>
  <c r="X200" i="12"/>
  <c r="X199" i="12"/>
  <c r="X198" i="12"/>
  <c r="X197" i="12"/>
  <c r="A198" i="12"/>
  <c r="O198" i="12"/>
  <c r="Q198" i="12"/>
  <c r="A199" i="12"/>
  <c r="O199" i="12"/>
  <c r="Q199" i="12"/>
  <c r="A200" i="12"/>
  <c r="O200" i="12"/>
  <c r="Q200" i="12"/>
  <c r="A201" i="12"/>
  <c r="O201" i="12"/>
  <c r="Q201" i="12"/>
  <c r="A202" i="12"/>
  <c r="O202" i="12"/>
  <c r="Q202" i="12"/>
  <c r="A203" i="12"/>
  <c r="O203" i="12"/>
  <c r="Q203" i="12"/>
  <c r="A204" i="12"/>
  <c r="O204" i="12"/>
  <c r="Q204" i="12"/>
  <c r="A205" i="12"/>
  <c r="O205" i="12"/>
  <c r="Q205" i="12"/>
  <c r="A206" i="12"/>
  <c r="O206" i="12"/>
  <c r="Q206" i="12"/>
  <c r="A207" i="12"/>
  <c r="O207" i="12"/>
  <c r="Q207" i="12"/>
  <c r="A208" i="12"/>
  <c r="O208" i="12"/>
  <c r="Q208" i="12"/>
  <c r="A209" i="12"/>
  <c r="O209" i="12"/>
  <c r="Q209" i="12"/>
  <c r="A210" i="12"/>
  <c r="O210" i="12"/>
  <c r="Q210" i="12"/>
  <c r="A211" i="12"/>
  <c r="O211" i="12"/>
  <c r="Q211" i="12"/>
  <c r="A212" i="12"/>
  <c r="O212" i="12"/>
  <c r="Q212" i="12"/>
  <c r="A213" i="12"/>
  <c r="A214" i="12"/>
  <c r="A215" i="12"/>
  <c r="A216" i="12"/>
  <c r="O216" i="12"/>
  <c r="U216" i="12" s="1"/>
  <c r="Q216" i="12"/>
  <c r="W216" i="12" s="1"/>
  <c r="E217" i="12"/>
  <c r="X217" i="12"/>
  <c r="A218" i="12"/>
  <c r="O218" i="12"/>
  <c r="Q218" i="12"/>
  <c r="X237" i="12"/>
  <c r="X236" i="12"/>
  <c r="X235" i="12"/>
  <c r="X234" i="12"/>
  <c r="X233" i="12"/>
  <c r="X232" i="12"/>
  <c r="X231" i="12"/>
  <c r="X230" i="12"/>
  <c r="X229" i="12"/>
  <c r="X228" i="12"/>
  <c r="X227" i="12"/>
  <c r="X226" i="12"/>
  <c r="X225" i="12"/>
  <c r="X224" i="12"/>
  <c r="X223" i="12"/>
  <c r="X222" i="12"/>
  <c r="X221" i="12"/>
  <c r="X220" i="12"/>
  <c r="X219" i="12"/>
  <c r="X218" i="12"/>
  <c r="A219" i="12"/>
  <c r="O219" i="12"/>
  <c r="Q219" i="12"/>
  <c r="A220" i="12"/>
  <c r="O220" i="12"/>
  <c r="Q220" i="12"/>
  <c r="A221" i="12"/>
  <c r="O221" i="12"/>
  <c r="Q221" i="12"/>
  <c r="A222" i="12"/>
  <c r="O222" i="12"/>
  <c r="Q222" i="12"/>
  <c r="A223" i="12"/>
  <c r="O223" i="12"/>
  <c r="Q223" i="12"/>
  <c r="A224" i="12"/>
  <c r="O224" i="12"/>
  <c r="Q224" i="12"/>
  <c r="A225" i="12"/>
  <c r="O225" i="12"/>
  <c r="Q225" i="12"/>
  <c r="A226" i="12"/>
  <c r="O226" i="12"/>
  <c r="Q226" i="12"/>
  <c r="A227" i="12"/>
  <c r="O227" i="12"/>
  <c r="Q227" i="12"/>
  <c r="A228" i="12"/>
  <c r="O228" i="12"/>
  <c r="Q228" i="12"/>
  <c r="A229" i="12"/>
  <c r="O229" i="12"/>
  <c r="Q229" i="12"/>
  <c r="A230" i="12"/>
  <c r="O230" i="12"/>
  <c r="Q230" i="12"/>
  <c r="A231" i="12"/>
  <c r="O231" i="12"/>
  <c r="Q231" i="12"/>
  <c r="A232" i="12"/>
  <c r="O232" i="12"/>
  <c r="Q232" i="12"/>
  <c r="A233" i="12"/>
  <c r="O233" i="12"/>
  <c r="Q233" i="12"/>
  <c r="A234" i="12"/>
  <c r="A235" i="12"/>
  <c r="A236" i="12"/>
  <c r="A237" i="12"/>
  <c r="O237" i="12"/>
  <c r="U237" i="12" s="1"/>
  <c r="Q237" i="12"/>
  <c r="W237" i="12" s="1"/>
  <c r="E238" i="12"/>
  <c r="X238" i="12"/>
  <c r="A239" i="12"/>
  <c r="O239" i="12"/>
  <c r="Q239" i="12"/>
  <c r="X258" i="12"/>
  <c r="X257" i="12"/>
  <c r="X256" i="12"/>
  <c r="X255" i="12"/>
  <c r="X254" i="12"/>
  <c r="X253" i="12"/>
  <c r="X252" i="12"/>
  <c r="X251" i="12"/>
  <c r="X250" i="12"/>
  <c r="X249" i="12"/>
  <c r="X248" i="12"/>
  <c r="X247" i="12"/>
  <c r="X246" i="12"/>
  <c r="X245" i="12"/>
  <c r="X244" i="12"/>
  <c r="X243" i="12"/>
  <c r="X242" i="12"/>
  <c r="X241" i="12"/>
  <c r="X240" i="12"/>
  <c r="X239" i="12"/>
  <c r="A240" i="12"/>
  <c r="O240" i="12"/>
  <c r="Q240" i="12"/>
  <c r="A241" i="12"/>
  <c r="O241" i="12"/>
  <c r="Q241" i="12"/>
  <c r="A242" i="12"/>
  <c r="O242" i="12"/>
  <c r="Q242" i="12"/>
  <c r="A243" i="12"/>
  <c r="O243" i="12"/>
  <c r="Q243" i="12"/>
  <c r="A244" i="12"/>
  <c r="O244" i="12"/>
  <c r="Q244" i="12"/>
  <c r="A245" i="12"/>
  <c r="O245" i="12"/>
  <c r="Q245" i="12"/>
  <c r="A246" i="12"/>
  <c r="O246" i="12"/>
  <c r="Q246" i="12"/>
  <c r="A247" i="12"/>
  <c r="O247" i="12"/>
  <c r="Q247" i="12"/>
  <c r="A248" i="12"/>
  <c r="O248" i="12"/>
  <c r="Q248" i="12"/>
  <c r="A249" i="12"/>
  <c r="O249" i="12"/>
  <c r="Q249" i="12"/>
  <c r="A250" i="12"/>
  <c r="O250" i="12"/>
  <c r="Q250" i="12"/>
  <c r="A251" i="12"/>
  <c r="O251" i="12"/>
  <c r="Q251" i="12"/>
  <c r="A252" i="12"/>
  <c r="O252" i="12"/>
  <c r="Q252" i="12"/>
  <c r="A253" i="12"/>
  <c r="O253" i="12"/>
  <c r="Q253" i="12"/>
  <c r="A254" i="12"/>
  <c r="O254" i="12"/>
  <c r="Q254" i="12"/>
  <c r="A255" i="12"/>
  <c r="A256" i="12"/>
  <c r="A257" i="12"/>
  <c r="A258" i="12"/>
  <c r="O258" i="12"/>
  <c r="U258" i="12" s="1"/>
  <c r="Q258" i="12"/>
  <c r="W258" i="12" s="1"/>
  <c r="E259" i="12"/>
  <c r="X259" i="12"/>
  <c r="A260" i="12"/>
  <c r="O260" i="12"/>
  <c r="Q260" i="12"/>
  <c r="X279" i="12"/>
  <c r="X278" i="12"/>
  <c r="X277" i="12"/>
  <c r="X276" i="12"/>
  <c r="X275" i="12"/>
  <c r="X274" i="12"/>
  <c r="X273" i="12"/>
  <c r="X272" i="12"/>
  <c r="X271" i="12"/>
  <c r="X270" i="12"/>
  <c r="X269" i="12"/>
  <c r="X268" i="12"/>
  <c r="X267" i="12"/>
  <c r="X266" i="12"/>
  <c r="X265" i="12"/>
  <c r="X264" i="12"/>
  <c r="X263" i="12"/>
  <c r="X262" i="12"/>
  <c r="X261" i="12"/>
  <c r="X260" i="12"/>
  <c r="A261" i="12"/>
  <c r="O261" i="12"/>
  <c r="Q261" i="12"/>
  <c r="A262" i="12"/>
  <c r="O262" i="12"/>
  <c r="Q262" i="12"/>
  <c r="A263" i="12"/>
  <c r="O263" i="12"/>
  <c r="Q263" i="12"/>
  <c r="A264" i="12"/>
  <c r="O264" i="12"/>
  <c r="Q264" i="12"/>
  <c r="A265" i="12"/>
  <c r="O265" i="12"/>
  <c r="Q265" i="12"/>
  <c r="A266" i="12"/>
  <c r="O266" i="12"/>
  <c r="Q266" i="12"/>
  <c r="A267" i="12"/>
  <c r="O267" i="12"/>
  <c r="Q267" i="12"/>
  <c r="A268" i="12"/>
  <c r="O268" i="12"/>
  <c r="Q268" i="12"/>
  <c r="A269" i="12"/>
  <c r="O269" i="12"/>
  <c r="Q269" i="12"/>
  <c r="A270" i="12"/>
  <c r="O270" i="12"/>
  <c r="Q270" i="12"/>
  <c r="A271" i="12"/>
  <c r="O271" i="12"/>
  <c r="Q271" i="12"/>
  <c r="A272" i="12"/>
  <c r="O272" i="12"/>
  <c r="Q272" i="12"/>
  <c r="A273" i="12"/>
  <c r="O273" i="12"/>
  <c r="Q273" i="12"/>
  <c r="X321" i="12"/>
  <c r="X320" i="12"/>
  <c r="X319" i="12"/>
  <c r="X318" i="12"/>
  <c r="X317" i="12"/>
  <c r="X316" i="12"/>
  <c r="X315" i="12"/>
  <c r="X314" i="12"/>
  <c r="X313" i="12"/>
  <c r="X312" i="12"/>
  <c r="X311" i="12"/>
  <c r="X310" i="12"/>
  <c r="X309" i="12"/>
  <c r="X308" i="12"/>
  <c r="X307" i="12"/>
  <c r="X306" i="12"/>
  <c r="X305" i="12"/>
  <c r="X304" i="12"/>
  <c r="X303" i="12"/>
  <c r="X302" i="12"/>
  <c r="A274" i="12"/>
  <c r="O274" i="12"/>
  <c r="Q274" i="12"/>
  <c r="A275" i="12"/>
  <c r="O275" i="12"/>
  <c r="Q275" i="12"/>
  <c r="A276" i="12"/>
  <c r="A277" i="12"/>
  <c r="A278" i="12"/>
  <c r="A279" i="12"/>
  <c r="O279" i="12"/>
  <c r="U279" i="12" s="1"/>
  <c r="Q279" i="12"/>
  <c r="W279" i="12" s="1"/>
  <c r="E280" i="12"/>
  <c r="X280" i="12"/>
  <c r="A281" i="12"/>
  <c r="O281" i="12"/>
  <c r="Q281" i="12"/>
  <c r="X300" i="12"/>
  <c r="X299" i="12"/>
  <c r="X298" i="12"/>
  <c r="X297" i="12"/>
  <c r="X296" i="12"/>
  <c r="X295" i="12"/>
  <c r="X294" i="12"/>
  <c r="X293" i="12"/>
  <c r="X292" i="12"/>
  <c r="X291" i="12"/>
  <c r="X290" i="12"/>
  <c r="X289" i="12"/>
  <c r="X288" i="12"/>
  <c r="X287" i="12"/>
  <c r="X286" i="12"/>
  <c r="X285" i="12"/>
  <c r="X284" i="12"/>
  <c r="X283" i="12"/>
  <c r="X282" i="12"/>
  <c r="X281" i="12"/>
  <c r="A282" i="12"/>
  <c r="O282" i="12"/>
  <c r="Q282" i="12"/>
  <c r="A283" i="12"/>
  <c r="O283" i="12"/>
  <c r="Q283" i="12"/>
  <c r="A284" i="12"/>
  <c r="O284" i="12"/>
  <c r="Q284" i="12"/>
  <c r="A285" i="12"/>
  <c r="O285" i="12"/>
  <c r="Q285" i="12"/>
  <c r="A286" i="12"/>
  <c r="O286" i="12"/>
  <c r="Q286" i="12"/>
  <c r="A287" i="12"/>
  <c r="O287" i="12"/>
  <c r="Q287" i="12"/>
  <c r="A288" i="12"/>
  <c r="O288" i="12"/>
  <c r="Q288" i="12"/>
  <c r="A289" i="12"/>
  <c r="O289" i="12"/>
  <c r="Q289" i="12"/>
  <c r="A290" i="12"/>
  <c r="O290" i="12"/>
  <c r="Q290" i="12"/>
  <c r="A291" i="12"/>
  <c r="O291" i="12"/>
  <c r="Q291" i="12"/>
  <c r="A292" i="12"/>
  <c r="O292" i="12"/>
  <c r="Q292" i="12"/>
  <c r="A293" i="12"/>
  <c r="O293" i="12"/>
  <c r="Q293" i="12"/>
  <c r="A294" i="12"/>
  <c r="O294" i="12"/>
  <c r="Q294" i="12"/>
  <c r="A295" i="12"/>
  <c r="O295" i="12"/>
  <c r="Q295" i="12"/>
  <c r="A296" i="12"/>
  <c r="O296" i="12"/>
  <c r="Q296" i="12"/>
  <c r="A297" i="12"/>
  <c r="A298" i="12"/>
  <c r="A299" i="12"/>
  <c r="A300" i="12"/>
  <c r="O300" i="12"/>
  <c r="U300" i="12" s="1"/>
  <c r="Q300" i="12"/>
  <c r="W300" i="12" s="1"/>
  <c r="E301" i="12"/>
  <c r="X301" i="12"/>
  <c r="A302" i="12"/>
  <c r="O302" i="12"/>
  <c r="Q302" i="12"/>
  <c r="A303" i="12"/>
  <c r="O303" i="12"/>
  <c r="Q303" i="12"/>
  <c r="A304" i="12"/>
  <c r="O304" i="12"/>
  <c r="Q304" i="12"/>
  <c r="A305" i="12"/>
  <c r="O305" i="12"/>
  <c r="Q305" i="12"/>
  <c r="A306" i="12"/>
  <c r="O306" i="12"/>
  <c r="Q306" i="12"/>
  <c r="A307" i="12"/>
  <c r="O307" i="12"/>
  <c r="Q307" i="12"/>
  <c r="W307" i="12" s="1"/>
  <c r="A308" i="12"/>
  <c r="O308" i="12"/>
  <c r="Q308" i="12"/>
  <c r="A309" i="12"/>
  <c r="O309" i="12"/>
  <c r="Q309" i="12"/>
  <c r="A310" i="12"/>
  <c r="O310" i="12"/>
  <c r="Q310" i="12"/>
  <c r="A311" i="12"/>
  <c r="O311" i="12"/>
  <c r="Q311" i="12"/>
  <c r="A312" i="12"/>
  <c r="O312" i="12"/>
  <c r="Q312" i="12"/>
  <c r="A313" i="12"/>
  <c r="O313" i="12"/>
  <c r="Q313" i="12"/>
  <c r="A314" i="12"/>
  <c r="O314" i="12"/>
  <c r="Q314" i="12"/>
  <c r="A315" i="12"/>
  <c r="O315" i="12"/>
  <c r="Q315" i="12"/>
  <c r="A316" i="12"/>
  <c r="O316" i="12"/>
  <c r="Q316" i="12"/>
  <c r="A317" i="12"/>
  <c r="O317" i="12"/>
  <c r="Q317" i="12"/>
  <c r="A318" i="12"/>
  <c r="A319" i="12"/>
  <c r="A320" i="12"/>
  <c r="A321" i="12"/>
  <c r="O321" i="12"/>
  <c r="U321" i="12" s="1"/>
  <c r="Q321" i="12"/>
  <c r="W321" i="12" s="1"/>
  <c r="E322" i="12"/>
  <c r="X322" i="12"/>
  <c r="A323" i="12"/>
  <c r="O323" i="12"/>
  <c r="Q323" i="12"/>
  <c r="X342" i="12"/>
  <c r="X341" i="12"/>
  <c r="X340" i="12"/>
  <c r="X339" i="12"/>
  <c r="X338" i="12"/>
  <c r="X337" i="12"/>
  <c r="X336" i="12"/>
  <c r="X335" i="12"/>
  <c r="X334" i="12"/>
  <c r="X333" i="12"/>
  <c r="X332" i="12"/>
  <c r="X331" i="12"/>
  <c r="X330" i="12"/>
  <c r="X329" i="12"/>
  <c r="X328" i="12"/>
  <c r="X327" i="12"/>
  <c r="X326" i="12"/>
  <c r="X325" i="12"/>
  <c r="X324" i="12"/>
  <c r="X323" i="12"/>
  <c r="A324" i="12"/>
  <c r="O324" i="12"/>
  <c r="Q324" i="12"/>
  <c r="A325" i="12"/>
  <c r="O325" i="12"/>
  <c r="Q325" i="12"/>
  <c r="A326" i="12"/>
  <c r="O326" i="12"/>
  <c r="Q326" i="12"/>
  <c r="A327" i="12"/>
  <c r="O327" i="12"/>
  <c r="Q327" i="12"/>
  <c r="A328" i="12"/>
  <c r="O328" i="12"/>
  <c r="Q328" i="12"/>
  <c r="A329" i="12"/>
  <c r="O329" i="12"/>
  <c r="Q329" i="12"/>
  <c r="A330" i="12"/>
  <c r="O330" i="12"/>
  <c r="Q330" i="12"/>
  <c r="A331" i="12"/>
  <c r="O331" i="12"/>
  <c r="Q331" i="12"/>
  <c r="A332" i="12"/>
  <c r="O332" i="12"/>
  <c r="Q332" i="12"/>
  <c r="A333" i="12"/>
  <c r="O333" i="12"/>
  <c r="Q333" i="12"/>
  <c r="A334" i="12"/>
  <c r="O334" i="12"/>
  <c r="Q334" i="12"/>
  <c r="A335" i="12"/>
  <c r="O335" i="12"/>
  <c r="Q335" i="12"/>
  <c r="A336" i="12"/>
  <c r="O336" i="12"/>
  <c r="Q336" i="12"/>
  <c r="A337" i="12"/>
  <c r="O337" i="12"/>
  <c r="Q337" i="12"/>
  <c r="A338" i="12"/>
  <c r="O338" i="12"/>
  <c r="Q338" i="12"/>
  <c r="A339" i="12"/>
  <c r="A340" i="12"/>
  <c r="A341" i="12"/>
  <c r="A342" i="12"/>
  <c r="O342" i="12"/>
  <c r="U342" i="12" s="1"/>
  <c r="Q342" i="12"/>
  <c r="W342" i="12" s="1"/>
  <c r="E343" i="12"/>
  <c r="X343" i="12"/>
  <c r="A344" i="12"/>
  <c r="O344" i="12"/>
  <c r="Q344" i="12"/>
  <c r="X363" i="12"/>
  <c r="X362" i="12"/>
  <c r="X361" i="12"/>
  <c r="X360" i="12"/>
  <c r="X359" i="12"/>
  <c r="X358" i="12"/>
  <c r="X357" i="12"/>
  <c r="X356" i="12"/>
  <c r="X355" i="12"/>
  <c r="X354" i="12"/>
  <c r="X353" i="12"/>
  <c r="X352" i="12"/>
  <c r="X351" i="12"/>
  <c r="X350" i="12"/>
  <c r="X349" i="12"/>
  <c r="X348" i="12"/>
  <c r="X347" i="12"/>
  <c r="X346" i="12"/>
  <c r="X345" i="12"/>
  <c r="X344" i="12"/>
  <c r="A345" i="12"/>
  <c r="O345" i="12"/>
  <c r="Q345" i="12"/>
  <c r="A346" i="12"/>
  <c r="O346" i="12"/>
  <c r="Q346" i="12"/>
  <c r="A347" i="12"/>
  <c r="O347" i="12"/>
  <c r="Q347" i="12"/>
  <c r="A348" i="12"/>
  <c r="O348" i="12"/>
  <c r="Q348" i="12"/>
  <c r="A349" i="12"/>
  <c r="O349" i="12"/>
  <c r="Q349" i="12"/>
  <c r="A350" i="12"/>
  <c r="O350" i="12"/>
  <c r="Q350" i="12"/>
  <c r="A351" i="12"/>
  <c r="O351" i="12"/>
  <c r="Q351" i="12"/>
  <c r="A352" i="12"/>
  <c r="O352" i="12"/>
  <c r="Q352" i="12"/>
  <c r="A353" i="12"/>
  <c r="O353" i="12"/>
  <c r="Q353" i="12"/>
  <c r="A354" i="12"/>
  <c r="O354" i="12"/>
  <c r="Q354" i="12"/>
  <c r="A355" i="12"/>
  <c r="O355" i="12"/>
  <c r="Q355" i="12"/>
  <c r="A356" i="12"/>
  <c r="O356" i="12"/>
  <c r="Q356" i="12"/>
  <c r="A357" i="12"/>
  <c r="O357" i="12"/>
  <c r="Q357" i="12"/>
  <c r="A358" i="12"/>
  <c r="O358" i="12"/>
  <c r="Q358" i="12"/>
  <c r="A359" i="12"/>
  <c r="O359" i="12"/>
  <c r="Q359" i="12"/>
  <c r="A360" i="12"/>
  <c r="A361" i="12"/>
  <c r="A362" i="12"/>
  <c r="A363" i="12"/>
  <c r="O363" i="12"/>
  <c r="U363" i="12" s="1"/>
  <c r="Q363" i="12"/>
  <c r="W363" i="12" s="1"/>
  <c r="E364" i="12"/>
  <c r="X364" i="12"/>
  <c r="A365" i="12"/>
  <c r="O365" i="12"/>
  <c r="Q365" i="12"/>
  <c r="X384" i="12"/>
  <c r="X383" i="12"/>
  <c r="X382" i="12"/>
  <c r="X381" i="12"/>
  <c r="X380" i="12"/>
  <c r="X379" i="12"/>
  <c r="X378" i="12"/>
  <c r="X377" i="12"/>
  <c r="X376" i="12"/>
  <c r="X375" i="12"/>
  <c r="X374" i="12"/>
  <c r="X373" i="12"/>
  <c r="X372" i="12"/>
  <c r="X371" i="12"/>
  <c r="X370" i="12"/>
  <c r="X369" i="12"/>
  <c r="X368" i="12"/>
  <c r="X367" i="12"/>
  <c r="X366" i="12"/>
  <c r="X365" i="12"/>
  <c r="A366" i="12"/>
  <c r="O366" i="12"/>
  <c r="Q366" i="12"/>
  <c r="A367" i="12"/>
  <c r="O367" i="12"/>
  <c r="Q367" i="12"/>
  <c r="A368" i="12"/>
  <c r="O368" i="12"/>
  <c r="Q368" i="12"/>
  <c r="A369" i="12"/>
  <c r="O369" i="12"/>
  <c r="Q369" i="12"/>
  <c r="A370" i="12"/>
  <c r="O370" i="12"/>
  <c r="Q370" i="12"/>
  <c r="A371" i="12"/>
  <c r="O371" i="12"/>
  <c r="Q371" i="12"/>
  <c r="A372" i="12"/>
  <c r="O372" i="12"/>
  <c r="Q372" i="12"/>
  <c r="A373" i="12"/>
  <c r="O373" i="12"/>
  <c r="Q373" i="12"/>
  <c r="A374" i="12"/>
  <c r="O374" i="12"/>
  <c r="Q374" i="12"/>
  <c r="A375" i="12"/>
  <c r="O375" i="12"/>
  <c r="Q375" i="12"/>
  <c r="A376" i="12"/>
  <c r="O376" i="12"/>
  <c r="Q376" i="12"/>
  <c r="A377" i="12"/>
  <c r="O377" i="12"/>
  <c r="Q377" i="12"/>
  <c r="A378" i="12"/>
  <c r="O378" i="12"/>
  <c r="Q378" i="12"/>
  <c r="A379" i="12"/>
  <c r="O379" i="12"/>
  <c r="Q379" i="12"/>
  <c r="A380" i="12"/>
  <c r="O380" i="12"/>
  <c r="Q380" i="12"/>
  <c r="A381" i="12"/>
  <c r="A382" i="12"/>
  <c r="A383" i="12"/>
  <c r="A384" i="12"/>
  <c r="O384" i="12"/>
  <c r="U384" i="12" s="1"/>
  <c r="Q384" i="12"/>
  <c r="W384" i="12" s="1"/>
  <c r="E385" i="12"/>
  <c r="X385" i="12"/>
  <c r="A386" i="12"/>
  <c r="O386" i="12"/>
  <c r="Q386" i="12"/>
  <c r="X405" i="12"/>
  <c r="X404" i="12"/>
  <c r="X403" i="12"/>
  <c r="X402" i="12"/>
  <c r="X401" i="12"/>
  <c r="X400" i="12"/>
  <c r="X399" i="12"/>
  <c r="X398" i="12"/>
  <c r="X397" i="12"/>
  <c r="X396" i="12"/>
  <c r="X395" i="12"/>
  <c r="X394" i="12"/>
  <c r="X393" i="12"/>
  <c r="X392" i="12"/>
  <c r="X391" i="12"/>
  <c r="X390" i="12"/>
  <c r="X389" i="12"/>
  <c r="X388" i="12"/>
  <c r="X387" i="12"/>
  <c r="X386" i="12"/>
  <c r="A387" i="12"/>
  <c r="O387" i="12"/>
  <c r="Q387" i="12"/>
  <c r="A388" i="12"/>
  <c r="O388" i="12"/>
  <c r="Q388" i="12"/>
  <c r="A389" i="12"/>
  <c r="O389" i="12"/>
  <c r="Q389" i="12"/>
  <c r="A390" i="12"/>
  <c r="O390" i="12"/>
  <c r="Q390" i="12"/>
  <c r="A391" i="12"/>
  <c r="O391" i="12"/>
  <c r="Q391" i="12"/>
  <c r="A392" i="12"/>
  <c r="O392" i="12"/>
  <c r="Q392" i="12"/>
  <c r="A393" i="12"/>
  <c r="O393" i="12"/>
  <c r="Q393" i="12"/>
  <c r="A394" i="12"/>
  <c r="O394" i="12"/>
  <c r="Q394" i="12"/>
  <c r="A395" i="12"/>
  <c r="O395" i="12"/>
  <c r="Q395" i="12"/>
  <c r="A396" i="12"/>
  <c r="O396" i="12"/>
  <c r="Q396" i="12"/>
  <c r="A397" i="12"/>
  <c r="O397" i="12"/>
  <c r="Q397" i="12"/>
  <c r="A398" i="12"/>
  <c r="O398" i="12"/>
  <c r="Q398" i="12"/>
  <c r="A399" i="12"/>
  <c r="O399" i="12"/>
  <c r="Q399" i="12"/>
  <c r="A400" i="12"/>
  <c r="O400" i="12"/>
  <c r="Q400" i="12"/>
  <c r="A401" i="12"/>
  <c r="O401" i="12"/>
  <c r="Q401" i="12"/>
  <c r="A402" i="12"/>
  <c r="A403" i="12"/>
  <c r="A404" i="12"/>
  <c r="A405" i="12"/>
  <c r="O405" i="12"/>
  <c r="U405" i="12" s="1"/>
  <c r="Q405" i="12"/>
  <c r="W405" i="12" s="1"/>
  <c r="E406" i="12"/>
  <c r="X406" i="12"/>
  <c r="A407" i="12"/>
  <c r="O407" i="12"/>
  <c r="Q407" i="12"/>
  <c r="X426" i="12"/>
  <c r="X425" i="12"/>
  <c r="X424" i="12"/>
  <c r="X423" i="12"/>
  <c r="X422" i="12"/>
  <c r="X421" i="12"/>
  <c r="X420" i="12"/>
  <c r="X419" i="12"/>
  <c r="X418" i="12"/>
  <c r="X417" i="12"/>
  <c r="X416" i="12"/>
  <c r="X415" i="12"/>
  <c r="X414" i="12"/>
  <c r="X413" i="12"/>
  <c r="X412" i="12"/>
  <c r="X411" i="12"/>
  <c r="X410" i="12"/>
  <c r="X409" i="12"/>
  <c r="X408" i="12"/>
  <c r="X407" i="12"/>
  <c r="A408" i="12"/>
  <c r="O408" i="12"/>
  <c r="Q408" i="12"/>
  <c r="A409" i="12"/>
  <c r="O409" i="12"/>
  <c r="Q409" i="12"/>
  <c r="A410" i="12"/>
  <c r="O410" i="12"/>
  <c r="Q410" i="12"/>
  <c r="A411" i="12"/>
  <c r="O411" i="12"/>
  <c r="Q411" i="12"/>
  <c r="A412" i="12"/>
  <c r="O412" i="12"/>
  <c r="Q412" i="12"/>
  <c r="A413" i="12"/>
  <c r="O413" i="12"/>
  <c r="Q413" i="12"/>
  <c r="A414" i="12"/>
  <c r="O414" i="12"/>
  <c r="Q414" i="12"/>
  <c r="A415" i="12"/>
  <c r="O415" i="12"/>
  <c r="Q415" i="12"/>
  <c r="A416" i="12"/>
  <c r="O416" i="12"/>
  <c r="Q416" i="12"/>
  <c r="A417" i="12"/>
  <c r="O417" i="12"/>
  <c r="Q417" i="12"/>
  <c r="A418" i="12"/>
  <c r="O418" i="12"/>
  <c r="Q418" i="12"/>
  <c r="A419" i="12"/>
  <c r="O419" i="12"/>
  <c r="Q419" i="12"/>
  <c r="A420" i="12"/>
  <c r="O420" i="12"/>
  <c r="Q420" i="12"/>
  <c r="A421" i="12"/>
  <c r="O421" i="12"/>
  <c r="Q421" i="12"/>
  <c r="A422" i="12"/>
  <c r="O422" i="12"/>
  <c r="Q422" i="12"/>
  <c r="A423" i="12"/>
  <c r="A424" i="12"/>
  <c r="A425" i="12"/>
  <c r="A426" i="12"/>
  <c r="O426" i="12"/>
  <c r="U426" i="12" s="1"/>
  <c r="Q426" i="12"/>
  <c r="W426" i="12" s="1"/>
  <c r="E427" i="12"/>
  <c r="X427" i="12"/>
  <c r="A8" i="11"/>
  <c r="O8" i="11"/>
  <c r="Q8" i="11"/>
  <c r="X27" i="11"/>
  <c r="X26" i="11"/>
  <c r="X25" i="11"/>
  <c r="X24" i="11"/>
  <c r="X23" i="11"/>
  <c r="X22" i="11"/>
  <c r="X21" i="11"/>
  <c r="X20" i="11"/>
  <c r="X19" i="11"/>
  <c r="X18" i="11"/>
  <c r="X17" i="11"/>
  <c r="X16" i="11"/>
  <c r="X15" i="11"/>
  <c r="X14" i="11"/>
  <c r="X13" i="11"/>
  <c r="X12" i="11"/>
  <c r="X11" i="11"/>
  <c r="X10" i="11"/>
  <c r="X9" i="11"/>
  <c r="X8" i="11"/>
  <c r="A9" i="11"/>
  <c r="O9" i="11"/>
  <c r="Q9" i="11"/>
  <c r="A10" i="11"/>
  <c r="O10" i="11"/>
  <c r="Q10" i="11"/>
  <c r="A11" i="11"/>
  <c r="O11" i="11"/>
  <c r="Q11" i="11"/>
  <c r="A12" i="11"/>
  <c r="O12" i="11"/>
  <c r="Q12" i="11"/>
  <c r="A13" i="11"/>
  <c r="O13" i="11"/>
  <c r="Q13" i="11"/>
  <c r="A14" i="11"/>
  <c r="O14" i="11"/>
  <c r="Q14" i="11"/>
  <c r="A15" i="11"/>
  <c r="O15" i="11"/>
  <c r="Q15" i="11"/>
  <c r="A16" i="11"/>
  <c r="O16" i="11"/>
  <c r="Q16" i="11"/>
  <c r="A17" i="11"/>
  <c r="O17" i="11"/>
  <c r="Q17" i="11"/>
  <c r="A18" i="11"/>
  <c r="O18" i="11"/>
  <c r="Q18" i="11"/>
  <c r="A19" i="11"/>
  <c r="O19" i="11"/>
  <c r="Q19" i="11"/>
  <c r="A20" i="11"/>
  <c r="O20" i="11"/>
  <c r="Q20" i="11"/>
  <c r="A21" i="11"/>
  <c r="O21" i="11"/>
  <c r="Q21" i="11"/>
  <c r="A22" i="11"/>
  <c r="O22" i="11"/>
  <c r="Q22" i="11"/>
  <c r="A23" i="11"/>
  <c r="O23" i="11"/>
  <c r="Q23" i="11"/>
  <c r="A24" i="11"/>
  <c r="A25" i="11"/>
  <c r="A26" i="11"/>
  <c r="A27" i="11"/>
  <c r="O27" i="11"/>
  <c r="U27" i="11" s="1"/>
  <c r="Q27" i="11"/>
  <c r="W27" i="11" s="1"/>
  <c r="E28" i="11"/>
  <c r="X28" i="11"/>
  <c r="A29" i="11"/>
  <c r="O29" i="11"/>
  <c r="Q29" i="11"/>
  <c r="X48" i="11"/>
  <c r="X47" i="11"/>
  <c r="X46" i="11"/>
  <c r="X45" i="11"/>
  <c r="X44" i="11"/>
  <c r="X43" i="11"/>
  <c r="X42" i="11"/>
  <c r="X41" i="11"/>
  <c r="X40" i="11"/>
  <c r="X39" i="11"/>
  <c r="X38" i="11"/>
  <c r="X37" i="11"/>
  <c r="X36" i="11"/>
  <c r="X35" i="11"/>
  <c r="X34" i="11"/>
  <c r="X33" i="11"/>
  <c r="X32" i="11"/>
  <c r="X31" i="11"/>
  <c r="X30" i="11"/>
  <c r="X29" i="11"/>
  <c r="A30" i="11"/>
  <c r="O30" i="11"/>
  <c r="Q30" i="11"/>
  <c r="A31" i="11"/>
  <c r="O31" i="11"/>
  <c r="Q31" i="11"/>
  <c r="A32" i="11"/>
  <c r="O32" i="11"/>
  <c r="Q32" i="11"/>
  <c r="A33" i="11"/>
  <c r="O33" i="11"/>
  <c r="Q33" i="11"/>
  <c r="A34" i="11"/>
  <c r="O34" i="11"/>
  <c r="Q34" i="11"/>
  <c r="A35" i="11"/>
  <c r="O35" i="11"/>
  <c r="Q35" i="11"/>
  <c r="A36" i="11"/>
  <c r="O36" i="11"/>
  <c r="Q36" i="11"/>
  <c r="A37" i="11"/>
  <c r="O37" i="11"/>
  <c r="Q37" i="11"/>
  <c r="A38" i="11"/>
  <c r="O38" i="11"/>
  <c r="Q38" i="11"/>
  <c r="A39" i="11"/>
  <c r="O39" i="11"/>
  <c r="Q39" i="11"/>
  <c r="A40" i="11"/>
  <c r="O40" i="11"/>
  <c r="Q40" i="11"/>
  <c r="A41" i="11"/>
  <c r="O41" i="11"/>
  <c r="Q41" i="11"/>
  <c r="A42" i="11"/>
  <c r="O42" i="11"/>
  <c r="Q42" i="11"/>
  <c r="A43" i="11"/>
  <c r="O43" i="11"/>
  <c r="Q43" i="11"/>
  <c r="A44" i="11"/>
  <c r="O44" i="11"/>
  <c r="Q44" i="11"/>
  <c r="A45" i="11"/>
  <c r="A46" i="11"/>
  <c r="A47" i="11"/>
  <c r="A48" i="11"/>
  <c r="O48" i="11"/>
  <c r="U48" i="11" s="1"/>
  <c r="Q48" i="11"/>
  <c r="W48" i="11" s="1"/>
  <c r="E49" i="11"/>
  <c r="X49" i="11"/>
  <c r="A50" i="11"/>
  <c r="O50" i="11"/>
  <c r="Q50" i="11"/>
  <c r="X69" i="11"/>
  <c r="X68" i="11"/>
  <c r="X67" i="11"/>
  <c r="X66" i="11"/>
  <c r="X65" i="11"/>
  <c r="X64" i="11"/>
  <c r="X63" i="11"/>
  <c r="X62" i="11"/>
  <c r="X61" i="11"/>
  <c r="X60" i="11"/>
  <c r="X59" i="11"/>
  <c r="X58" i="11"/>
  <c r="X57" i="11"/>
  <c r="X56" i="11"/>
  <c r="X55" i="11"/>
  <c r="X54" i="11"/>
  <c r="X53" i="11"/>
  <c r="X52" i="11"/>
  <c r="X51" i="11"/>
  <c r="X50" i="11"/>
  <c r="A51" i="11"/>
  <c r="O51" i="11"/>
  <c r="Q51" i="11"/>
  <c r="A52" i="11"/>
  <c r="O52" i="11"/>
  <c r="Q52" i="11"/>
  <c r="A53" i="11"/>
  <c r="O53" i="11"/>
  <c r="Q53" i="11"/>
  <c r="A54" i="11"/>
  <c r="O54" i="11"/>
  <c r="Q54" i="11"/>
  <c r="A55" i="11"/>
  <c r="O55" i="11"/>
  <c r="Q55" i="11"/>
  <c r="A56" i="11"/>
  <c r="O56" i="11"/>
  <c r="Q56" i="11"/>
  <c r="A57" i="11"/>
  <c r="O57" i="11"/>
  <c r="Q57" i="11"/>
  <c r="A58" i="11"/>
  <c r="O58" i="11"/>
  <c r="Q58" i="11"/>
  <c r="A59" i="11"/>
  <c r="O59" i="11"/>
  <c r="Q59" i="11"/>
  <c r="A60" i="11"/>
  <c r="O60" i="11"/>
  <c r="Q60" i="11"/>
  <c r="A61" i="11"/>
  <c r="O61" i="11"/>
  <c r="Q61" i="11"/>
  <c r="A62" i="11"/>
  <c r="O62" i="11"/>
  <c r="Q62" i="11"/>
  <c r="A63" i="11"/>
  <c r="O63" i="11"/>
  <c r="Q63" i="11"/>
  <c r="A64" i="11"/>
  <c r="O64" i="11"/>
  <c r="Q64" i="11"/>
  <c r="A65" i="11"/>
  <c r="O65" i="11"/>
  <c r="Q65" i="11"/>
  <c r="A66" i="11"/>
  <c r="A67" i="11"/>
  <c r="A68" i="11"/>
  <c r="A69" i="11"/>
  <c r="O69" i="11"/>
  <c r="U69" i="11" s="1"/>
  <c r="Q69" i="11"/>
  <c r="W69" i="11" s="1"/>
  <c r="E70" i="11"/>
  <c r="X70" i="11"/>
  <c r="A71" i="11"/>
  <c r="O71" i="11"/>
  <c r="Q71" i="11"/>
  <c r="X90" i="11"/>
  <c r="X89" i="11"/>
  <c r="X88" i="11"/>
  <c r="X87" i="11"/>
  <c r="X86" i="11"/>
  <c r="X85" i="11"/>
  <c r="X84" i="11"/>
  <c r="X83" i="11"/>
  <c r="X82" i="11"/>
  <c r="X81" i="11"/>
  <c r="X80" i="11"/>
  <c r="X79" i="11"/>
  <c r="X78" i="11"/>
  <c r="X77" i="11"/>
  <c r="X76" i="11"/>
  <c r="X75" i="11"/>
  <c r="X74" i="11"/>
  <c r="X73" i="11"/>
  <c r="X72" i="11"/>
  <c r="X71" i="11"/>
  <c r="A72" i="11"/>
  <c r="O72" i="11"/>
  <c r="Q72" i="11"/>
  <c r="A73" i="11"/>
  <c r="O73" i="11"/>
  <c r="Q73" i="11"/>
  <c r="A74" i="11"/>
  <c r="O74" i="11"/>
  <c r="Q74" i="11"/>
  <c r="A75" i="11"/>
  <c r="O75" i="11"/>
  <c r="Q75" i="11"/>
  <c r="A76" i="11"/>
  <c r="O76" i="11"/>
  <c r="Q76" i="11"/>
  <c r="A77" i="11"/>
  <c r="O77" i="11"/>
  <c r="Q77" i="11"/>
  <c r="A78" i="11"/>
  <c r="O78" i="11"/>
  <c r="Q78" i="11"/>
  <c r="A79" i="11"/>
  <c r="O79" i="11"/>
  <c r="Q79" i="11"/>
  <c r="A80" i="11"/>
  <c r="O80" i="11"/>
  <c r="Q80" i="11"/>
  <c r="A81" i="11"/>
  <c r="O81" i="11"/>
  <c r="Q81" i="11"/>
  <c r="A82" i="11"/>
  <c r="O82" i="11"/>
  <c r="Q82" i="11"/>
  <c r="A83" i="11"/>
  <c r="O83" i="11"/>
  <c r="Q83" i="11"/>
  <c r="A84" i="11"/>
  <c r="O84" i="11"/>
  <c r="Q84" i="11"/>
  <c r="A85" i="11"/>
  <c r="O85" i="11"/>
  <c r="Q85" i="11"/>
  <c r="A86" i="11"/>
  <c r="O86" i="11"/>
  <c r="Q86" i="11"/>
  <c r="A87" i="11"/>
  <c r="A88" i="11"/>
  <c r="A89" i="11"/>
  <c r="A90" i="11"/>
  <c r="O90" i="11"/>
  <c r="U90" i="11" s="1"/>
  <c r="Q90" i="11"/>
  <c r="W90" i="11" s="1"/>
  <c r="E91" i="11"/>
  <c r="X91" i="11"/>
  <c r="A92" i="11"/>
  <c r="O92" i="11"/>
  <c r="Q92" i="11"/>
  <c r="X111" i="11"/>
  <c r="X110" i="11"/>
  <c r="X109" i="11"/>
  <c r="X108" i="11"/>
  <c r="X107" i="11"/>
  <c r="X106" i="11"/>
  <c r="X105" i="11"/>
  <c r="X104" i="11"/>
  <c r="X103" i="11"/>
  <c r="X102" i="11"/>
  <c r="X101" i="11"/>
  <c r="X100" i="11"/>
  <c r="X99" i="11"/>
  <c r="X98" i="11"/>
  <c r="X97" i="11"/>
  <c r="X96" i="11"/>
  <c r="X95" i="11"/>
  <c r="X94" i="11"/>
  <c r="X93" i="11"/>
  <c r="X92" i="11"/>
  <c r="A93" i="11"/>
  <c r="O93" i="11"/>
  <c r="Q93" i="11"/>
  <c r="A94" i="11"/>
  <c r="O94" i="11"/>
  <c r="Q94" i="11"/>
  <c r="A95" i="11"/>
  <c r="O95" i="11"/>
  <c r="Q95" i="11"/>
  <c r="A96" i="11"/>
  <c r="O96" i="11"/>
  <c r="Q96" i="11"/>
  <c r="A97" i="11"/>
  <c r="O97" i="11"/>
  <c r="Q97" i="11"/>
  <c r="A98" i="11"/>
  <c r="O98" i="11"/>
  <c r="Q98" i="11"/>
  <c r="A99" i="11"/>
  <c r="O99" i="11"/>
  <c r="Q99" i="11"/>
  <c r="A100" i="11"/>
  <c r="O100" i="11"/>
  <c r="Q100" i="11"/>
  <c r="A101" i="11"/>
  <c r="O101" i="11"/>
  <c r="Q101" i="11"/>
  <c r="A102" i="11"/>
  <c r="O102" i="11"/>
  <c r="Q102" i="11"/>
  <c r="A103" i="11"/>
  <c r="O103" i="11"/>
  <c r="Q103" i="11"/>
  <c r="A104" i="11"/>
  <c r="O104" i="11"/>
  <c r="Q104" i="11"/>
  <c r="A105" i="11"/>
  <c r="O105" i="11"/>
  <c r="Q105" i="11"/>
  <c r="A106" i="11"/>
  <c r="O106" i="11"/>
  <c r="Q106" i="11"/>
  <c r="A107" i="11"/>
  <c r="O107" i="11"/>
  <c r="Q107" i="11"/>
  <c r="A108" i="11"/>
  <c r="A109" i="11"/>
  <c r="A110" i="11"/>
  <c r="A111" i="11"/>
  <c r="O111" i="11"/>
  <c r="U111" i="11" s="1"/>
  <c r="Q111" i="11"/>
  <c r="W111" i="11" s="1"/>
  <c r="E112" i="11"/>
  <c r="X112" i="11"/>
  <c r="A113" i="11"/>
  <c r="O113" i="11"/>
  <c r="Q113" i="11"/>
  <c r="X132" i="11"/>
  <c r="X131" i="11"/>
  <c r="X130" i="11"/>
  <c r="X129" i="11"/>
  <c r="X128" i="11"/>
  <c r="X127" i="11"/>
  <c r="X126" i="11"/>
  <c r="X125" i="11"/>
  <c r="X124" i="11"/>
  <c r="X123" i="11"/>
  <c r="X122" i="11"/>
  <c r="X121" i="11"/>
  <c r="X120" i="11"/>
  <c r="X119" i="11"/>
  <c r="X118" i="11"/>
  <c r="X117" i="11"/>
  <c r="X116" i="11"/>
  <c r="X115" i="11"/>
  <c r="X114" i="11"/>
  <c r="X113" i="11"/>
  <c r="A114" i="11"/>
  <c r="O114" i="11"/>
  <c r="Q114" i="11"/>
  <c r="A115" i="11"/>
  <c r="O115" i="11"/>
  <c r="Q115" i="11"/>
  <c r="A116" i="11"/>
  <c r="O116" i="11"/>
  <c r="Q116" i="11"/>
  <c r="A117" i="11"/>
  <c r="O117" i="11"/>
  <c r="Q117" i="11"/>
  <c r="A118" i="11"/>
  <c r="O118" i="11"/>
  <c r="Q118" i="11"/>
  <c r="A119" i="11"/>
  <c r="O119" i="11"/>
  <c r="Q119" i="11"/>
  <c r="A120" i="11"/>
  <c r="O120" i="11"/>
  <c r="Q120" i="11"/>
  <c r="A121" i="11"/>
  <c r="O121" i="11"/>
  <c r="Q121" i="11"/>
  <c r="A122" i="11"/>
  <c r="O122" i="11"/>
  <c r="Q122" i="11"/>
  <c r="A123" i="11"/>
  <c r="O123" i="11"/>
  <c r="Q123" i="11"/>
  <c r="A124" i="11"/>
  <c r="O124" i="11"/>
  <c r="Q124" i="11"/>
  <c r="A125" i="11"/>
  <c r="O125" i="11"/>
  <c r="Q125" i="11"/>
  <c r="A126" i="11"/>
  <c r="O126" i="11"/>
  <c r="Q126" i="11"/>
  <c r="A127" i="11"/>
  <c r="O127" i="11"/>
  <c r="Q127" i="11"/>
  <c r="A128" i="11"/>
  <c r="O128" i="11"/>
  <c r="Q128" i="11"/>
  <c r="A129" i="11"/>
  <c r="A130" i="11"/>
  <c r="A131" i="11"/>
  <c r="A132" i="11"/>
  <c r="O132" i="11"/>
  <c r="U132" i="11" s="1"/>
  <c r="Q132" i="11"/>
  <c r="W132" i="11" s="1"/>
  <c r="E133" i="11"/>
  <c r="X133" i="11"/>
  <c r="A134" i="11"/>
  <c r="O134" i="11"/>
  <c r="Q134" i="11"/>
  <c r="X153" i="11"/>
  <c r="X152" i="11"/>
  <c r="X151" i="11"/>
  <c r="X150" i="11"/>
  <c r="X149" i="11"/>
  <c r="X148" i="11"/>
  <c r="X147" i="11"/>
  <c r="X146" i="11"/>
  <c r="X145" i="11"/>
  <c r="X144" i="11"/>
  <c r="X143" i="11"/>
  <c r="X142" i="11"/>
  <c r="X141" i="11"/>
  <c r="X140" i="11"/>
  <c r="X139" i="11"/>
  <c r="X138" i="11"/>
  <c r="X137" i="11"/>
  <c r="X136" i="11"/>
  <c r="X135" i="11"/>
  <c r="X134" i="11"/>
  <c r="A135" i="11"/>
  <c r="O135" i="11"/>
  <c r="Q135" i="11"/>
  <c r="A136" i="11"/>
  <c r="O136" i="11"/>
  <c r="Q136" i="11"/>
  <c r="A137" i="11"/>
  <c r="O137" i="11"/>
  <c r="Q137" i="11"/>
  <c r="A138" i="11"/>
  <c r="O138" i="11"/>
  <c r="Q138" i="11"/>
  <c r="A139" i="11"/>
  <c r="O139" i="11"/>
  <c r="Q139" i="11"/>
  <c r="A140" i="11"/>
  <c r="O140" i="11"/>
  <c r="Q140" i="11"/>
  <c r="A141" i="11"/>
  <c r="O141" i="11"/>
  <c r="Q141" i="11"/>
  <c r="A142" i="11"/>
  <c r="O142" i="11"/>
  <c r="Q142" i="11"/>
  <c r="A143" i="11"/>
  <c r="O143" i="11"/>
  <c r="Q143" i="11"/>
  <c r="A144" i="11"/>
  <c r="O144" i="11"/>
  <c r="Q144" i="11"/>
  <c r="A145" i="11"/>
  <c r="O145" i="11"/>
  <c r="Q145" i="11"/>
  <c r="A146" i="11"/>
  <c r="O146" i="11"/>
  <c r="Q146" i="11"/>
  <c r="A147" i="11"/>
  <c r="O147" i="11"/>
  <c r="Q147" i="11"/>
  <c r="A148" i="11"/>
  <c r="O148" i="11"/>
  <c r="Q148" i="11"/>
  <c r="A149" i="11"/>
  <c r="O149" i="11"/>
  <c r="Q149" i="11"/>
  <c r="A150" i="11"/>
  <c r="A151" i="11"/>
  <c r="A152" i="11"/>
  <c r="A153" i="11"/>
  <c r="O153" i="11"/>
  <c r="U153" i="11" s="1"/>
  <c r="Q153" i="11"/>
  <c r="W153" i="11" s="1"/>
  <c r="E154" i="11"/>
  <c r="X154" i="11"/>
  <c r="A155" i="11"/>
  <c r="O155" i="11"/>
  <c r="Q155" i="11"/>
  <c r="X174" i="11"/>
  <c r="X173" i="11"/>
  <c r="X172" i="11"/>
  <c r="X171" i="11"/>
  <c r="X170" i="11"/>
  <c r="X169" i="11"/>
  <c r="X168" i="11"/>
  <c r="X167" i="11"/>
  <c r="X166" i="11"/>
  <c r="X165" i="11"/>
  <c r="X164" i="11"/>
  <c r="X163" i="11"/>
  <c r="X162" i="11"/>
  <c r="X161" i="11"/>
  <c r="X160" i="11"/>
  <c r="X159" i="11"/>
  <c r="X158" i="11"/>
  <c r="X157" i="11"/>
  <c r="X156" i="11"/>
  <c r="X155" i="11"/>
  <c r="A156" i="11"/>
  <c r="O156" i="11"/>
  <c r="Q156" i="11"/>
  <c r="A157" i="11"/>
  <c r="O157" i="11"/>
  <c r="Q157" i="11"/>
  <c r="A158" i="11"/>
  <c r="O158" i="11"/>
  <c r="Q158" i="11"/>
  <c r="A159" i="11"/>
  <c r="O159" i="11"/>
  <c r="Q159" i="11"/>
  <c r="A160" i="11"/>
  <c r="O160" i="11"/>
  <c r="Q160" i="11"/>
  <c r="A161" i="11"/>
  <c r="O161" i="11"/>
  <c r="Q161" i="11"/>
  <c r="A162" i="11"/>
  <c r="O162" i="11"/>
  <c r="Q162" i="11"/>
  <c r="A163" i="11"/>
  <c r="O163" i="11"/>
  <c r="Q163" i="11"/>
  <c r="A164" i="11"/>
  <c r="O164" i="11"/>
  <c r="Q164" i="11"/>
  <c r="A165" i="11"/>
  <c r="O165" i="11"/>
  <c r="Q165" i="11"/>
  <c r="A166" i="11"/>
  <c r="O166" i="11"/>
  <c r="Q166" i="11"/>
  <c r="A167" i="11"/>
  <c r="O167" i="11"/>
  <c r="Q167" i="11"/>
  <c r="A168" i="11"/>
  <c r="O168" i="11"/>
  <c r="Q168" i="11"/>
  <c r="A169" i="11"/>
  <c r="O169" i="11"/>
  <c r="Q169" i="11"/>
  <c r="A170" i="11"/>
  <c r="O170" i="11"/>
  <c r="Q170" i="11"/>
  <c r="A171" i="11"/>
  <c r="A172" i="11"/>
  <c r="A173" i="11"/>
  <c r="A174" i="11"/>
  <c r="O174" i="11"/>
  <c r="U174" i="11" s="1"/>
  <c r="Q174" i="11"/>
  <c r="W174" i="11" s="1"/>
  <c r="E175" i="11"/>
  <c r="X175" i="11"/>
  <c r="A176" i="11"/>
  <c r="O176" i="11"/>
  <c r="Q176" i="11"/>
  <c r="X195" i="11"/>
  <c r="X194" i="11"/>
  <c r="X193" i="11"/>
  <c r="X192" i="11"/>
  <c r="X191" i="11"/>
  <c r="X190" i="11"/>
  <c r="X189" i="11"/>
  <c r="X188" i="11"/>
  <c r="X187" i="11"/>
  <c r="X186" i="11"/>
  <c r="X185" i="11"/>
  <c r="X184" i="11"/>
  <c r="X183" i="11"/>
  <c r="X182" i="11"/>
  <c r="X181" i="11"/>
  <c r="X180" i="11"/>
  <c r="X179" i="11"/>
  <c r="X178" i="11"/>
  <c r="X177" i="11"/>
  <c r="X176" i="11"/>
  <c r="A177" i="11"/>
  <c r="O177" i="11"/>
  <c r="Q177" i="11"/>
  <c r="A178" i="11"/>
  <c r="O178" i="11"/>
  <c r="Q178" i="11"/>
  <c r="A179" i="11"/>
  <c r="O179" i="11"/>
  <c r="Q179" i="11"/>
  <c r="A180" i="11"/>
  <c r="O180" i="11"/>
  <c r="Q180" i="11"/>
  <c r="A181" i="11"/>
  <c r="O181" i="11"/>
  <c r="Q181" i="11"/>
  <c r="A182" i="11"/>
  <c r="O182" i="11"/>
  <c r="Q182" i="11"/>
  <c r="A183" i="11"/>
  <c r="O183" i="11"/>
  <c r="Q183" i="11"/>
  <c r="A184" i="11"/>
  <c r="O184" i="11"/>
  <c r="Q184" i="11"/>
  <c r="A185" i="11"/>
  <c r="O185" i="11"/>
  <c r="Q185" i="11"/>
  <c r="A186" i="11"/>
  <c r="O186" i="11"/>
  <c r="Q186" i="11"/>
  <c r="A187" i="11"/>
  <c r="O187" i="11"/>
  <c r="Q187" i="11"/>
  <c r="A188" i="11"/>
  <c r="O188" i="11"/>
  <c r="Q188" i="11"/>
  <c r="A189" i="11"/>
  <c r="O189" i="11"/>
  <c r="Q189" i="11"/>
  <c r="A190" i="11"/>
  <c r="O190" i="11"/>
  <c r="Q190" i="11"/>
  <c r="A191" i="11"/>
  <c r="O191" i="11"/>
  <c r="Q191" i="11"/>
  <c r="A192" i="11"/>
  <c r="A193" i="11"/>
  <c r="A194" i="11"/>
  <c r="A195" i="11"/>
  <c r="O195" i="11"/>
  <c r="U195" i="11" s="1"/>
  <c r="Q195" i="11"/>
  <c r="W195" i="11" s="1"/>
  <c r="E196" i="11"/>
  <c r="X196" i="11"/>
  <c r="A197" i="11"/>
  <c r="O197" i="11"/>
  <c r="Q197" i="11"/>
  <c r="X216" i="11"/>
  <c r="X215" i="11"/>
  <c r="X214" i="11"/>
  <c r="X213" i="11"/>
  <c r="X212" i="11"/>
  <c r="X211" i="11"/>
  <c r="X210" i="11"/>
  <c r="X209" i="11"/>
  <c r="X208" i="11"/>
  <c r="X207" i="11"/>
  <c r="X206" i="11"/>
  <c r="X205" i="11"/>
  <c r="X204" i="11"/>
  <c r="X203" i="11"/>
  <c r="X202" i="11"/>
  <c r="X201" i="11"/>
  <c r="X200" i="11"/>
  <c r="X199" i="11"/>
  <c r="X198" i="11"/>
  <c r="X197" i="11"/>
  <c r="A198" i="11"/>
  <c r="O198" i="11"/>
  <c r="Q198" i="11"/>
  <c r="A199" i="11"/>
  <c r="O199" i="11"/>
  <c r="Q199" i="11"/>
  <c r="A200" i="11"/>
  <c r="O200" i="11"/>
  <c r="Q200" i="11"/>
  <c r="A201" i="11"/>
  <c r="O201" i="11"/>
  <c r="Q201" i="11"/>
  <c r="A202" i="11"/>
  <c r="O202" i="11"/>
  <c r="Q202" i="11"/>
  <c r="A203" i="11"/>
  <c r="O203" i="11"/>
  <c r="Q203" i="11"/>
  <c r="A204" i="11"/>
  <c r="O204" i="11"/>
  <c r="Q204" i="11"/>
  <c r="A205" i="11"/>
  <c r="O205" i="11"/>
  <c r="Q205" i="11"/>
  <c r="A206" i="11"/>
  <c r="O206" i="11"/>
  <c r="Q206" i="11"/>
  <c r="A207" i="11"/>
  <c r="O207" i="11"/>
  <c r="Q207" i="11"/>
  <c r="A208" i="11"/>
  <c r="O208" i="11"/>
  <c r="Q208" i="11"/>
  <c r="A209" i="11"/>
  <c r="O209" i="11"/>
  <c r="Q209" i="11"/>
  <c r="A210" i="11"/>
  <c r="O210" i="11"/>
  <c r="Q210" i="11"/>
  <c r="A211" i="11"/>
  <c r="O211" i="11"/>
  <c r="Q211" i="11"/>
  <c r="A212" i="11"/>
  <c r="O212" i="11"/>
  <c r="Q212" i="11"/>
  <c r="A213" i="11"/>
  <c r="A214" i="11"/>
  <c r="A215" i="11"/>
  <c r="A216" i="11"/>
  <c r="O216" i="11"/>
  <c r="U216" i="11" s="1"/>
  <c r="Q216" i="11"/>
  <c r="W216" i="11" s="1"/>
  <c r="E217" i="11"/>
  <c r="X217" i="11"/>
  <c r="A218" i="11"/>
  <c r="O218" i="11"/>
  <c r="Q218" i="11"/>
  <c r="X237" i="11"/>
  <c r="X236" i="11"/>
  <c r="X235" i="11"/>
  <c r="X234" i="11"/>
  <c r="X233" i="11"/>
  <c r="X232" i="11"/>
  <c r="X231" i="11"/>
  <c r="X230" i="11"/>
  <c r="X229" i="11"/>
  <c r="X228" i="11"/>
  <c r="X227" i="11"/>
  <c r="X226" i="11"/>
  <c r="X225" i="11"/>
  <c r="X224" i="11"/>
  <c r="X223" i="11"/>
  <c r="X222" i="11"/>
  <c r="X221" i="11"/>
  <c r="X220" i="11"/>
  <c r="X219" i="11"/>
  <c r="X218" i="11"/>
  <c r="A219" i="11"/>
  <c r="O219" i="11"/>
  <c r="Q219" i="11"/>
  <c r="A220" i="11"/>
  <c r="O220" i="11"/>
  <c r="Q220" i="11"/>
  <c r="A221" i="11"/>
  <c r="O221" i="11"/>
  <c r="Q221" i="11"/>
  <c r="A222" i="11"/>
  <c r="O222" i="11"/>
  <c r="Q222" i="11"/>
  <c r="A223" i="11"/>
  <c r="O223" i="11"/>
  <c r="Q223" i="11"/>
  <c r="A224" i="11"/>
  <c r="O224" i="11"/>
  <c r="Q224" i="11"/>
  <c r="A225" i="11"/>
  <c r="O225" i="11"/>
  <c r="Q225" i="11"/>
  <c r="A226" i="11"/>
  <c r="O226" i="11"/>
  <c r="Q226" i="11"/>
  <c r="A227" i="11"/>
  <c r="O227" i="11"/>
  <c r="Q227" i="11"/>
  <c r="A228" i="11"/>
  <c r="O228" i="11"/>
  <c r="Q228" i="11"/>
  <c r="A229" i="11"/>
  <c r="O229" i="11"/>
  <c r="Q229" i="11"/>
  <c r="A230" i="11"/>
  <c r="O230" i="11"/>
  <c r="Q230" i="11"/>
  <c r="A231" i="11"/>
  <c r="O231" i="11"/>
  <c r="Q231" i="11"/>
  <c r="A232" i="11"/>
  <c r="O232" i="11"/>
  <c r="Q232" i="11"/>
  <c r="A233" i="11"/>
  <c r="O233" i="11"/>
  <c r="Q233" i="11"/>
  <c r="A234" i="11"/>
  <c r="A235" i="11"/>
  <c r="A236" i="11"/>
  <c r="A237" i="11"/>
  <c r="O237" i="11"/>
  <c r="U237" i="11" s="1"/>
  <c r="Q237" i="11"/>
  <c r="W237" i="11" s="1"/>
  <c r="E238" i="11"/>
  <c r="X238" i="11"/>
  <c r="A239" i="11"/>
  <c r="O239" i="11"/>
  <c r="Q239" i="11"/>
  <c r="X258" i="11"/>
  <c r="X257" i="11"/>
  <c r="X256" i="11"/>
  <c r="X255" i="11"/>
  <c r="X254" i="11"/>
  <c r="X253" i="11"/>
  <c r="X252" i="11"/>
  <c r="X251" i="11"/>
  <c r="X250" i="11"/>
  <c r="X249" i="11"/>
  <c r="X248" i="11"/>
  <c r="X247" i="11"/>
  <c r="X246" i="11"/>
  <c r="X245" i="11"/>
  <c r="X244" i="11"/>
  <c r="X243" i="11"/>
  <c r="X242" i="11"/>
  <c r="X241" i="11"/>
  <c r="X240" i="11"/>
  <c r="X239" i="11"/>
  <c r="A240" i="11"/>
  <c r="O240" i="11"/>
  <c r="Q240" i="11"/>
  <c r="A241" i="11"/>
  <c r="O241" i="11"/>
  <c r="Q241" i="11"/>
  <c r="A242" i="11"/>
  <c r="O242" i="11"/>
  <c r="Q242" i="11"/>
  <c r="A243" i="11"/>
  <c r="O243" i="11"/>
  <c r="Q243" i="11"/>
  <c r="A244" i="11"/>
  <c r="O244" i="11"/>
  <c r="Q244" i="11"/>
  <c r="A245" i="11"/>
  <c r="O245" i="11"/>
  <c r="Q245" i="11"/>
  <c r="A246" i="11"/>
  <c r="O246" i="11"/>
  <c r="Q246" i="11"/>
  <c r="A247" i="11"/>
  <c r="O247" i="11"/>
  <c r="Q247" i="11"/>
  <c r="A248" i="11"/>
  <c r="O248" i="11"/>
  <c r="Q248" i="11"/>
  <c r="A249" i="11"/>
  <c r="O249" i="11"/>
  <c r="Q249" i="11"/>
  <c r="A250" i="11"/>
  <c r="O250" i="11"/>
  <c r="Q250" i="11"/>
  <c r="A251" i="11"/>
  <c r="O251" i="11"/>
  <c r="Q251" i="11"/>
  <c r="A252" i="11"/>
  <c r="O252" i="11"/>
  <c r="Q252" i="11"/>
  <c r="A253" i="11"/>
  <c r="O253" i="11"/>
  <c r="Q253" i="11"/>
  <c r="A254" i="11"/>
  <c r="O254" i="11"/>
  <c r="Q254" i="11"/>
  <c r="A255" i="11"/>
  <c r="A256" i="11"/>
  <c r="A257" i="11"/>
  <c r="A258" i="11"/>
  <c r="O258" i="11"/>
  <c r="U258" i="11" s="1"/>
  <c r="Q258" i="11"/>
  <c r="W258" i="11" s="1"/>
  <c r="E259" i="11"/>
  <c r="X259" i="11"/>
  <c r="A260" i="11"/>
  <c r="O260" i="11"/>
  <c r="Q260" i="11"/>
  <c r="X279" i="11"/>
  <c r="X278" i="11"/>
  <c r="X277" i="11"/>
  <c r="X276" i="11"/>
  <c r="X275" i="11"/>
  <c r="X274" i="11"/>
  <c r="X273" i="11"/>
  <c r="X272" i="11"/>
  <c r="X271" i="11"/>
  <c r="X270" i="11"/>
  <c r="X269" i="11"/>
  <c r="X268" i="11"/>
  <c r="X267" i="11"/>
  <c r="X266" i="11"/>
  <c r="X265" i="11"/>
  <c r="X264" i="11"/>
  <c r="X263" i="11"/>
  <c r="X262" i="11"/>
  <c r="X261" i="11"/>
  <c r="X260" i="11"/>
  <c r="A261" i="11"/>
  <c r="O261" i="11"/>
  <c r="Q261" i="11"/>
  <c r="A262" i="11"/>
  <c r="O262" i="11"/>
  <c r="Q262" i="11"/>
  <c r="A263" i="11"/>
  <c r="O263" i="11"/>
  <c r="Q263" i="11"/>
  <c r="A264" i="11"/>
  <c r="O264" i="11"/>
  <c r="Q264" i="11"/>
  <c r="A265" i="11"/>
  <c r="O265" i="11"/>
  <c r="Q265" i="11"/>
  <c r="A266" i="11"/>
  <c r="O266" i="11"/>
  <c r="Q266" i="11"/>
  <c r="A267" i="11"/>
  <c r="O267" i="11"/>
  <c r="Q267" i="11"/>
  <c r="A268" i="11"/>
  <c r="O268" i="11"/>
  <c r="Q268" i="11"/>
  <c r="A269" i="11"/>
  <c r="O269" i="11"/>
  <c r="Q269" i="11"/>
  <c r="A270" i="11"/>
  <c r="O270" i="11"/>
  <c r="Q270" i="11"/>
  <c r="A271" i="11"/>
  <c r="O271" i="11"/>
  <c r="Q271" i="11"/>
  <c r="A272" i="11"/>
  <c r="O272" i="11"/>
  <c r="Q272" i="11"/>
  <c r="A273" i="11"/>
  <c r="O273" i="11"/>
  <c r="Q273" i="11"/>
  <c r="A274" i="11"/>
  <c r="O274" i="11"/>
  <c r="Q274" i="11"/>
  <c r="A275" i="11"/>
  <c r="O275" i="11"/>
  <c r="Q275" i="11"/>
  <c r="A276" i="11"/>
  <c r="A277" i="11"/>
  <c r="A278" i="11"/>
  <c r="A279" i="11"/>
  <c r="O279" i="11"/>
  <c r="U279" i="11" s="1"/>
  <c r="Q279" i="11"/>
  <c r="W279" i="11" s="1"/>
  <c r="E280" i="11"/>
  <c r="X280" i="11"/>
  <c r="A281" i="11"/>
  <c r="O281" i="11"/>
  <c r="Q281" i="11"/>
  <c r="X300" i="11"/>
  <c r="X299" i="11"/>
  <c r="X298" i="11"/>
  <c r="X297" i="11"/>
  <c r="X296" i="11"/>
  <c r="X295" i="11"/>
  <c r="X294" i="11"/>
  <c r="X293" i="11"/>
  <c r="X292" i="11"/>
  <c r="X291" i="11"/>
  <c r="X290" i="11"/>
  <c r="X289" i="11"/>
  <c r="X288" i="11"/>
  <c r="X287" i="11"/>
  <c r="X286" i="11"/>
  <c r="X285" i="11"/>
  <c r="X284" i="11"/>
  <c r="X283" i="11"/>
  <c r="X282" i="11"/>
  <c r="X281" i="11"/>
  <c r="A282" i="11"/>
  <c r="O282" i="11"/>
  <c r="Q282" i="11"/>
  <c r="A283" i="11"/>
  <c r="O283" i="11"/>
  <c r="Q283" i="11"/>
  <c r="A284" i="11"/>
  <c r="O284" i="11"/>
  <c r="Q284" i="11"/>
  <c r="A285" i="11"/>
  <c r="O285" i="11"/>
  <c r="Q285" i="11"/>
  <c r="A286" i="11"/>
  <c r="O286" i="11"/>
  <c r="Q286" i="11"/>
  <c r="A287" i="11"/>
  <c r="O287" i="11"/>
  <c r="Q287" i="11"/>
  <c r="A288" i="11"/>
  <c r="O288" i="11"/>
  <c r="Q288" i="11"/>
  <c r="A289" i="11"/>
  <c r="O289" i="11"/>
  <c r="Q289" i="11"/>
  <c r="A290" i="11"/>
  <c r="O290" i="11"/>
  <c r="Q290" i="11"/>
  <c r="A291" i="11"/>
  <c r="O291" i="11"/>
  <c r="Q291" i="11"/>
  <c r="A292" i="11"/>
  <c r="O292" i="11"/>
  <c r="Q292" i="11"/>
  <c r="A293" i="11"/>
  <c r="O293" i="11"/>
  <c r="Q293" i="11"/>
  <c r="A294" i="11"/>
  <c r="O294" i="11"/>
  <c r="Q294" i="11"/>
  <c r="A295" i="11"/>
  <c r="O295" i="11"/>
  <c r="Q295" i="11"/>
  <c r="A296" i="11"/>
  <c r="O296" i="11"/>
  <c r="Q296" i="11"/>
  <c r="A297" i="11"/>
  <c r="A298" i="11"/>
  <c r="A299" i="11"/>
  <c r="A300" i="11"/>
  <c r="O300" i="11"/>
  <c r="U300" i="11" s="1"/>
  <c r="Q300" i="11"/>
  <c r="W300" i="11" s="1"/>
  <c r="E301" i="11"/>
  <c r="X301" i="11"/>
  <c r="A302" i="11"/>
  <c r="O302" i="11"/>
  <c r="Q302" i="11"/>
  <c r="X321" i="11"/>
  <c r="X320" i="11"/>
  <c r="X319" i="11"/>
  <c r="X318" i="11"/>
  <c r="X317" i="11"/>
  <c r="X316" i="11"/>
  <c r="X315" i="11"/>
  <c r="X314" i="11"/>
  <c r="X313" i="11"/>
  <c r="X312" i="11"/>
  <c r="X311" i="11"/>
  <c r="X310" i="11"/>
  <c r="X309" i="11"/>
  <c r="X308" i="11"/>
  <c r="X307" i="11"/>
  <c r="X306" i="11"/>
  <c r="X305" i="11"/>
  <c r="X304" i="11"/>
  <c r="X303" i="11"/>
  <c r="X302" i="11"/>
  <c r="A303" i="11"/>
  <c r="O303" i="11"/>
  <c r="Q303" i="11"/>
  <c r="A304" i="11"/>
  <c r="O304" i="11"/>
  <c r="Q304" i="11"/>
  <c r="A305" i="11"/>
  <c r="O305" i="11"/>
  <c r="Q305" i="11"/>
  <c r="A306" i="11"/>
  <c r="O306" i="11"/>
  <c r="Q306" i="11"/>
  <c r="A307" i="11"/>
  <c r="O307" i="11"/>
  <c r="Q307" i="11"/>
  <c r="A308" i="11"/>
  <c r="O308" i="11"/>
  <c r="Q308" i="11"/>
  <c r="A309" i="11"/>
  <c r="O309" i="11"/>
  <c r="Q309" i="11"/>
  <c r="A310" i="11"/>
  <c r="O310" i="11"/>
  <c r="Q310" i="11"/>
  <c r="A311" i="11"/>
  <c r="O311" i="11"/>
  <c r="Q311" i="11"/>
  <c r="A312" i="11"/>
  <c r="O312" i="11"/>
  <c r="Q312" i="11"/>
  <c r="A313" i="11"/>
  <c r="O313" i="11"/>
  <c r="Q313" i="11"/>
  <c r="A314" i="11"/>
  <c r="O314" i="11"/>
  <c r="Q314" i="11"/>
  <c r="A315" i="11"/>
  <c r="O315" i="11"/>
  <c r="Q315" i="11"/>
  <c r="A316" i="11"/>
  <c r="O316" i="11"/>
  <c r="Q316" i="11"/>
  <c r="A317" i="11"/>
  <c r="O317" i="11"/>
  <c r="Q317" i="11"/>
  <c r="A318" i="11"/>
  <c r="A319" i="11"/>
  <c r="A320" i="11"/>
  <c r="A321" i="11"/>
  <c r="O321" i="11"/>
  <c r="U321" i="11" s="1"/>
  <c r="Q321" i="11"/>
  <c r="W321" i="11" s="1"/>
  <c r="E322" i="11"/>
  <c r="X322" i="11"/>
  <c r="A323" i="11"/>
  <c r="O323" i="11"/>
  <c r="Q323" i="11"/>
  <c r="X342" i="11"/>
  <c r="X341" i="11"/>
  <c r="X340" i="11"/>
  <c r="X339" i="11"/>
  <c r="X338" i="11"/>
  <c r="X337" i="11"/>
  <c r="X336" i="11"/>
  <c r="X335" i="11"/>
  <c r="X334" i="11"/>
  <c r="X333" i="11"/>
  <c r="X332" i="11"/>
  <c r="X331" i="11"/>
  <c r="X330" i="11"/>
  <c r="X329" i="11"/>
  <c r="X328" i="11"/>
  <c r="X327" i="11"/>
  <c r="X326" i="11"/>
  <c r="X325" i="11"/>
  <c r="X324" i="11"/>
  <c r="X323" i="11"/>
  <c r="A324" i="11"/>
  <c r="O324" i="11"/>
  <c r="Q324" i="11"/>
  <c r="A325" i="11"/>
  <c r="O325" i="11"/>
  <c r="Q325" i="11"/>
  <c r="A326" i="11"/>
  <c r="O326" i="11"/>
  <c r="Q326" i="11"/>
  <c r="A327" i="11"/>
  <c r="O327" i="11"/>
  <c r="Q327" i="11"/>
  <c r="A328" i="11"/>
  <c r="O328" i="11"/>
  <c r="Q328" i="11"/>
  <c r="A329" i="11"/>
  <c r="O329" i="11"/>
  <c r="Q329" i="11"/>
  <c r="A330" i="11"/>
  <c r="O330" i="11"/>
  <c r="Q330" i="11"/>
  <c r="A331" i="11"/>
  <c r="O331" i="11"/>
  <c r="Q331" i="11"/>
  <c r="A332" i="11"/>
  <c r="O332" i="11"/>
  <c r="Q332" i="11"/>
  <c r="A333" i="11"/>
  <c r="O333" i="11"/>
  <c r="Q333" i="11"/>
  <c r="A334" i="11"/>
  <c r="O334" i="11"/>
  <c r="Q334" i="11"/>
  <c r="A335" i="11"/>
  <c r="O335" i="11"/>
  <c r="Q335" i="11"/>
  <c r="A336" i="11"/>
  <c r="O336" i="11"/>
  <c r="Q336" i="11"/>
  <c r="A337" i="11"/>
  <c r="O337" i="11"/>
  <c r="Q337" i="11"/>
  <c r="A338" i="11"/>
  <c r="O338" i="11"/>
  <c r="Q338" i="11"/>
  <c r="A339" i="11"/>
  <c r="A340" i="11"/>
  <c r="A341" i="11"/>
  <c r="A342" i="11"/>
  <c r="O342" i="11"/>
  <c r="U342" i="11" s="1"/>
  <c r="Q342" i="11"/>
  <c r="W342" i="11" s="1"/>
  <c r="E343" i="11"/>
  <c r="X343" i="11"/>
  <c r="A344" i="11"/>
  <c r="O344" i="11"/>
  <c r="Q344" i="11"/>
  <c r="X363" i="11"/>
  <c r="X362" i="11"/>
  <c r="X361" i="11"/>
  <c r="X360" i="11"/>
  <c r="X359" i="11"/>
  <c r="X358" i="11"/>
  <c r="X357" i="11"/>
  <c r="X356" i="11"/>
  <c r="X355" i="11"/>
  <c r="X354" i="11"/>
  <c r="X353" i="11"/>
  <c r="X352" i="11"/>
  <c r="X351" i="11"/>
  <c r="X350" i="11"/>
  <c r="X349" i="11"/>
  <c r="X348" i="11"/>
  <c r="X347" i="11"/>
  <c r="X346" i="11"/>
  <c r="X345" i="11"/>
  <c r="X344" i="11"/>
  <c r="A345" i="11"/>
  <c r="O345" i="11"/>
  <c r="Q345" i="11"/>
  <c r="A346" i="11"/>
  <c r="O346" i="11"/>
  <c r="Q346" i="11"/>
  <c r="A347" i="11"/>
  <c r="O347" i="11"/>
  <c r="Q347" i="11"/>
  <c r="A348" i="11"/>
  <c r="O348" i="11"/>
  <c r="Q348" i="11"/>
  <c r="A349" i="11"/>
  <c r="O349" i="11"/>
  <c r="Q349" i="11"/>
  <c r="A350" i="11"/>
  <c r="O350" i="11"/>
  <c r="Q350" i="11"/>
  <c r="A351" i="11"/>
  <c r="O351" i="11"/>
  <c r="Q351" i="11"/>
  <c r="A352" i="11"/>
  <c r="O352" i="11"/>
  <c r="Q352" i="11"/>
  <c r="A353" i="11"/>
  <c r="O353" i="11"/>
  <c r="Q353" i="11"/>
  <c r="A354" i="11"/>
  <c r="O354" i="11"/>
  <c r="Q354" i="11"/>
  <c r="A355" i="11"/>
  <c r="O355" i="11"/>
  <c r="Q355" i="11"/>
  <c r="A356" i="11"/>
  <c r="O356" i="11"/>
  <c r="Q356" i="11"/>
  <c r="A357" i="11"/>
  <c r="O357" i="11"/>
  <c r="Q357" i="11"/>
  <c r="A358" i="11"/>
  <c r="O358" i="11"/>
  <c r="Q358" i="11"/>
  <c r="A359" i="11"/>
  <c r="O359" i="11"/>
  <c r="Q359" i="11"/>
  <c r="A360" i="11"/>
  <c r="A361" i="11"/>
  <c r="A362" i="11"/>
  <c r="A363" i="11"/>
  <c r="O363" i="11"/>
  <c r="U363" i="11" s="1"/>
  <c r="Q363" i="11"/>
  <c r="W363" i="11" s="1"/>
  <c r="E364" i="11"/>
  <c r="X364" i="11"/>
  <c r="A365" i="11"/>
  <c r="O365" i="11"/>
  <c r="Q365" i="11"/>
  <c r="X384" i="11"/>
  <c r="X383" i="11"/>
  <c r="X382" i="11"/>
  <c r="X381" i="11"/>
  <c r="X380" i="11"/>
  <c r="X379" i="11"/>
  <c r="X378" i="11"/>
  <c r="X377" i="11"/>
  <c r="X376" i="11"/>
  <c r="X375" i="11"/>
  <c r="X374" i="11"/>
  <c r="X373" i="11"/>
  <c r="X372" i="11"/>
  <c r="X371" i="11"/>
  <c r="X370" i="11"/>
  <c r="X369" i="11"/>
  <c r="X368" i="11"/>
  <c r="X367" i="11"/>
  <c r="X366" i="11"/>
  <c r="X365" i="11"/>
  <c r="A366" i="11"/>
  <c r="O366" i="11"/>
  <c r="Q366" i="11"/>
  <c r="A367" i="11"/>
  <c r="O367" i="11"/>
  <c r="Q367" i="11"/>
  <c r="A368" i="11"/>
  <c r="O368" i="11"/>
  <c r="Q368" i="11"/>
  <c r="A369" i="11"/>
  <c r="O369" i="11"/>
  <c r="Q369" i="11"/>
  <c r="A370" i="11"/>
  <c r="O370" i="11"/>
  <c r="Q370" i="11"/>
  <c r="A371" i="11"/>
  <c r="O371" i="11"/>
  <c r="Q371" i="11"/>
  <c r="A372" i="11"/>
  <c r="O372" i="11"/>
  <c r="Q372" i="11"/>
  <c r="A373" i="11"/>
  <c r="O373" i="11"/>
  <c r="Q373" i="11"/>
  <c r="A374" i="11"/>
  <c r="O374" i="11"/>
  <c r="Q374" i="11"/>
  <c r="A375" i="11"/>
  <c r="O375" i="11"/>
  <c r="Q375" i="11"/>
  <c r="A376" i="11"/>
  <c r="O376" i="11"/>
  <c r="Q376" i="11"/>
  <c r="A377" i="11"/>
  <c r="O377" i="11"/>
  <c r="Q377" i="11"/>
  <c r="A378" i="11"/>
  <c r="O378" i="11"/>
  <c r="Q378" i="11"/>
  <c r="A379" i="11"/>
  <c r="O379" i="11"/>
  <c r="Q379" i="11"/>
  <c r="A380" i="11"/>
  <c r="O380" i="11"/>
  <c r="Q380" i="11"/>
  <c r="A381" i="11"/>
  <c r="A382" i="11"/>
  <c r="A383" i="11"/>
  <c r="A384" i="11"/>
  <c r="O384" i="11"/>
  <c r="U384" i="11" s="1"/>
  <c r="Q384" i="11"/>
  <c r="W384" i="11" s="1"/>
  <c r="E385" i="11"/>
  <c r="X385" i="11"/>
  <c r="A386" i="11"/>
  <c r="O386" i="11"/>
  <c r="Q386" i="11"/>
  <c r="X405" i="11"/>
  <c r="X404" i="11"/>
  <c r="X403" i="11"/>
  <c r="X402" i="11"/>
  <c r="X401" i="11"/>
  <c r="X400" i="11"/>
  <c r="X399" i="11"/>
  <c r="X398" i="11"/>
  <c r="X397" i="11"/>
  <c r="X396" i="11"/>
  <c r="X395" i="11"/>
  <c r="X394" i="11"/>
  <c r="X393" i="11"/>
  <c r="X392" i="11"/>
  <c r="X391" i="11"/>
  <c r="X390" i="11"/>
  <c r="X389" i="11"/>
  <c r="X388" i="11"/>
  <c r="X387" i="11"/>
  <c r="X386" i="11"/>
  <c r="A387" i="11"/>
  <c r="O387" i="11"/>
  <c r="Q387" i="11"/>
  <c r="A388" i="11"/>
  <c r="O388" i="11"/>
  <c r="Q388" i="11"/>
  <c r="A389" i="11"/>
  <c r="O389" i="11"/>
  <c r="Q389" i="11"/>
  <c r="A390" i="11"/>
  <c r="O390" i="11"/>
  <c r="Q390" i="11"/>
  <c r="A391" i="11"/>
  <c r="O391" i="11"/>
  <c r="Q391" i="11"/>
  <c r="A392" i="11"/>
  <c r="O392" i="11"/>
  <c r="Q392" i="11"/>
  <c r="A393" i="11"/>
  <c r="O393" i="11"/>
  <c r="Q393" i="11"/>
  <c r="A394" i="11"/>
  <c r="O394" i="11"/>
  <c r="Q394" i="11"/>
  <c r="A395" i="11"/>
  <c r="O395" i="11"/>
  <c r="Q395" i="11"/>
  <c r="A396" i="11"/>
  <c r="O396" i="11"/>
  <c r="Q396" i="11"/>
  <c r="A397" i="11"/>
  <c r="O397" i="11"/>
  <c r="Q397" i="11"/>
  <c r="A398" i="11"/>
  <c r="O398" i="11"/>
  <c r="Q398" i="11"/>
  <c r="A399" i="11"/>
  <c r="O399" i="11"/>
  <c r="Q399" i="11"/>
  <c r="A400" i="11"/>
  <c r="O400" i="11"/>
  <c r="Q400" i="11"/>
  <c r="A401" i="11"/>
  <c r="O401" i="11"/>
  <c r="Q401" i="11"/>
  <c r="A402" i="11"/>
  <c r="A403" i="11"/>
  <c r="A404" i="11"/>
  <c r="A405" i="11"/>
  <c r="O405" i="11"/>
  <c r="U405" i="11" s="1"/>
  <c r="Q405" i="11"/>
  <c r="W405" i="11" s="1"/>
  <c r="E406" i="11"/>
  <c r="X406" i="11"/>
  <c r="A407" i="11"/>
  <c r="O407" i="11"/>
  <c r="Q407" i="11"/>
  <c r="X426" i="11"/>
  <c r="X425" i="11"/>
  <c r="X424" i="11"/>
  <c r="X423" i="11"/>
  <c r="X422" i="11"/>
  <c r="X421" i="11"/>
  <c r="X420" i="11"/>
  <c r="X419" i="11"/>
  <c r="X418" i="11"/>
  <c r="X417" i="11"/>
  <c r="X416" i="11"/>
  <c r="X415" i="11"/>
  <c r="X414" i="11"/>
  <c r="X413" i="11"/>
  <c r="X412" i="11"/>
  <c r="X411" i="11"/>
  <c r="X410" i="11"/>
  <c r="X409" i="11"/>
  <c r="X408" i="11"/>
  <c r="X407" i="11"/>
  <c r="A408" i="11"/>
  <c r="O408" i="11"/>
  <c r="Q408" i="11"/>
  <c r="A409" i="11"/>
  <c r="O409" i="11"/>
  <c r="Q409" i="11"/>
  <c r="A410" i="11"/>
  <c r="O410" i="11"/>
  <c r="Q410" i="11"/>
  <c r="A411" i="11"/>
  <c r="O411" i="11"/>
  <c r="Q411" i="11"/>
  <c r="A412" i="11"/>
  <c r="O412" i="11"/>
  <c r="Q412" i="11"/>
  <c r="A413" i="11"/>
  <c r="O413" i="11"/>
  <c r="Q413" i="11"/>
  <c r="A414" i="11"/>
  <c r="O414" i="11"/>
  <c r="Q414" i="11"/>
  <c r="A415" i="11"/>
  <c r="O415" i="11"/>
  <c r="Q415" i="11"/>
  <c r="A416" i="11"/>
  <c r="O416" i="11"/>
  <c r="Q416" i="11"/>
  <c r="A417" i="11"/>
  <c r="O417" i="11"/>
  <c r="Q417" i="11"/>
  <c r="A418" i="11"/>
  <c r="O418" i="11"/>
  <c r="Q418" i="11"/>
  <c r="A419" i="11"/>
  <c r="O419" i="11"/>
  <c r="Q419" i="11"/>
  <c r="A420" i="11"/>
  <c r="O420" i="11"/>
  <c r="Q420" i="11"/>
  <c r="A421" i="11"/>
  <c r="O421" i="11"/>
  <c r="Q421" i="11"/>
  <c r="A422" i="11"/>
  <c r="O422" i="11"/>
  <c r="Q422" i="11"/>
  <c r="A423" i="11"/>
  <c r="A424" i="11"/>
  <c r="A425" i="11"/>
  <c r="A426" i="11"/>
  <c r="O426" i="11"/>
  <c r="U426" i="11" s="1"/>
  <c r="Q426" i="11"/>
  <c r="W426" i="11" s="1"/>
  <c r="E427" i="11"/>
  <c r="X427" i="11"/>
  <c r="A8" i="10"/>
  <c r="O8" i="10"/>
  <c r="Q8" i="10"/>
  <c r="X27" i="10"/>
  <c r="X26" i="10"/>
  <c r="X25" i="10"/>
  <c r="X24" i="10"/>
  <c r="X23" i="10"/>
  <c r="X22" i="10"/>
  <c r="X21" i="10"/>
  <c r="X20" i="10"/>
  <c r="X19" i="10"/>
  <c r="X18" i="10"/>
  <c r="X17" i="10"/>
  <c r="X16" i="10"/>
  <c r="X15" i="10"/>
  <c r="X14" i="10"/>
  <c r="X13" i="10"/>
  <c r="X12" i="10"/>
  <c r="X11" i="10"/>
  <c r="X10" i="10"/>
  <c r="X9" i="10"/>
  <c r="X8" i="10"/>
  <c r="A9" i="10"/>
  <c r="O9" i="10"/>
  <c r="Q9" i="10"/>
  <c r="A10" i="10"/>
  <c r="O10" i="10"/>
  <c r="Q10" i="10"/>
  <c r="A11" i="10"/>
  <c r="O11" i="10"/>
  <c r="Q11" i="10"/>
  <c r="A12" i="10"/>
  <c r="O12" i="10"/>
  <c r="Q12" i="10"/>
  <c r="A13" i="10"/>
  <c r="O13" i="10"/>
  <c r="Q13" i="10"/>
  <c r="A14" i="10"/>
  <c r="O14" i="10"/>
  <c r="Q14" i="10"/>
  <c r="A15" i="10"/>
  <c r="O15" i="10"/>
  <c r="Q15" i="10"/>
  <c r="A16" i="10"/>
  <c r="O16" i="10"/>
  <c r="Q16" i="10"/>
  <c r="A17" i="10"/>
  <c r="O17" i="10"/>
  <c r="Q17" i="10"/>
  <c r="A18" i="10"/>
  <c r="O18" i="10"/>
  <c r="Q18" i="10"/>
  <c r="A19" i="10"/>
  <c r="O19" i="10"/>
  <c r="Q19" i="10"/>
  <c r="A20" i="10"/>
  <c r="O20" i="10"/>
  <c r="Q20" i="10"/>
  <c r="A21" i="10"/>
  <c r="O21" i="10"/>
  <c r="Q21" i="10"/>
  <c r="A22" i="10"/>
  <c r="O22" i="10"/>
  <c r="Q22" i="10"/>
  <c r="A23" i="10"/>
  <c r="O23" i="10"/>
  <c r="Q23" i="10"/>
  <c r="A24" i="10"/>
  <c r="A25" i="10"/>
  <c r="A26" i="10"/>
  <c r="A27" i="10"/>
  <c r="O27" i="10"/>
  <c r="U27" i="10" s="1"/>
  <c r="Q27" i="10"/>
  <c r="W27" i="10" s="1"/>
  <c r="E28" i="10"/>
  <c r="X28" i="10"/>
  <c r="A29" i="10"/>
  <c r="O29" i="10"/>
  <c r="Q29" i="10"/>
  <c r="X48" i="10"/>
  <c r="X47" i="10"/>
  <c r="X46" i="10"/>
  <c r="X45" i="10"/>
  <c r="X44" i="10"/>
  <c r="X43" i="10"/>
  <c r="X42" i="10"/>
  <c r="X41" i="10"/>
  <c r="X40" i="10"/>
  <c r="X39" i="10"/>
  <c r="X38" i="10"/>
  <c r="X37" i="10"/>
  <c r="X36" i="10"/>
  <c r="X35" i="10"/>
  <c r="X34" i="10"/>
  <c r="X33" i="10"/>
  <c r="X32" i="10"/>
  <c r="X31" i="10"/>
  <c r="X30" i="10"/>
  <c r="X29" i="10"/>
  <c r="A30" i="10"/>
  <c r="O30" i="10"/>
  <c r="Q30" i="10"/>
  <c r="A31" i="10"/>
  <c r="O31" i="10"/>
  <c r="Q31" i="10"/>
  <c r="A32" i="10"/>
  <c r="O32" i="10"/>
  <c r="Q32" i="10"/>
  <c r="A33" i="10"/>
  <c r="O33" i="10"/>
  <c r="Q33" i="10"/>
  <c r="A34" i="10"/>
  <c r="O34" i="10"/>
  <c r="Q34" i="10"/>
  <c r="A35" i="10"/>
  <c r="O35" i="10"/>
  <c r="Q35" i="10"/>
  <c r="A36" i="10"/>
  <c r="O36" i="10"/>
  <c r="Q36" i="10"/>
  <c r="A37" i="10"/>
  <c r="O37" i="10"/>
  <c r="Q37" i="10"/>
  <c r="A38" i="10"/>
  <c r="O38" i="10"/>
  <c r="Q38" i="10"/>
  <c r="A39" i="10"/>
  <c r="O39" i="10"/>
  <c r="Q39" i="10"/>
  <c r="A40" i="10"/>
  <c r="O40" i="10"/>
  <c r="Q40" i="10"/>
  <c r="A41" i="10"/>
  <c r="O41" i="10"/>
  <c r="Q41" i="10"/>
  <c r="A42" i="10"/>
  <c r="O42" i="10"/>
  <c r="Q42" i="10"/>
  <c r="A43" i="10"/>
  <c r="O43" i="10"/>
  <c r="Q43" i="10"/>
  <c r="A44" i="10"/>
  <c r="O44" i="10"/>
  <c r="Q44" i="10"/>
  <c r="A45" i="10"/>
  <c r="A46" i="10"/>
  <c r="A47" i="10"/>
  <c r="A48" i="10"/>
  <c r="O48" i="10"/>
  <c r="U48" i="10" s="1"/>
  <c r="Q48" i="10"/>
  <c r="W48" i="10" s="1"/>
  <c r="E49" i="10"/>
  <c r="X49" i="10"/>
  <c r="A50" i="10"/>
  <c r="O50" i="10"/>
  <c r="Q50" i="10"/>
  <c r="X69" i="10"/>
  <c r="X68" i="10"/>
  <c r="X67" i="10"/>
  <c r="X66" i="10"/>
  <c r="X65" i="10"/>
  <c r="X64" i="10"/>
  <c r="X63" i="10"/>
  <c r="X62" i="10"/>
  <c r="X61" i="10"/>
  <c r="X60" i="10"/>
  <c r="X59" i="10"/>
  <c r="X58" i="10"/>
  <c r="X57" i="10"/>
  <c r="X56" i="10"/>
  <c r="X55" i="10"/>
  <c r="X54" i="10"/>
  <c r="X53" i="10"/>
  <c r="X52" i="10"/>
  <c r="X51" i="10"/>
  <c r="X50" i="10"/>
  <c r="A51" i="10"/>
  <c r="O51" i="10"/>
  <c r="Q51" i="10"/>
  <c r="A52" i="10"/>
  <c r="O52" i="10"/>
  <c r="Q52" i="10"/>
  <c r="A53" i="10"/>
  <c r="O53" i="10"/>
  <c r="Q53" i="10"/>
  <c r="A54" i="10"/>
  <c r="O54" i="10"/>
  <c r="Q54" i="10"/>
  <c r="A55" i="10"/>
  <c r="O55" i="10"/>
  <c r="Q55" i="10"/>
  <c r="A56" i="10"/>
  <c r="O56" i="10"/>
  <c r="Q56" i="10"/>
  <c r="A57" i="10"/>
  <c r="O57" i="10"/>
  <c r="Q57" i="10"/>
  <c r="A58" i="10"/>
  <c r="O58" i="10"/>
  <c r="Q58" i="10"/>
  <c r="A59" i="10"/>
  <c r="O59" i="10"/>
  <c r="Q59" i="10"/>
  <c r="A60" i="10"/>
  <c r="O60" i="10"/>
  <c r="Q60" i="10"/>
  <c r="A61" i="10"/>
  <c r="O61" i="10"/>
  <c r="Q61" i="10"/>
  <c r="A62" i="10"/>
  <c r="O62" i="10"/>
  <c r="Q62" i="10"/>
  <c r="A63" i="10"/>
  <c r="O63" i="10"/>
  <c r="Q63" i="10"/>
  <c r="A64" i="10"/>
  <c r="O64" i="10"/>
  <c r="Q64" i="10"/>
  <c r="A65" i="10"/>
  <c r="O65" i="10"/>
  <c r="Q65" i="10"/>
  <c r="A66" i="10"/>
  <c r="A67" i="10"/>
  <c r="A68" i="10"/>
  <c r="A69" i="10"/>
  <c r="O69" i="10"/>
  <c r="U69" i="10" s="1"/>
  <c r="Q69" i="10"/>
  <c r="W69" i="10" s="1"/>
  <c r="E70" i="10"/>
  <c r="X70" i="10"/>
  <c r="A71" i="10"/>
  <c r="O71" i="10"/>
  <c r="Q71" i="10"/>
  <c r="X90" i="10"/>
  <c r="X89" i="10"/>
  <c r="X88" i="10"/>
  <c r="X87" i="10"/>
  <c r="X86" i="10"/>
  <c r="X85" i="10"/>
  <c r="X84" i="10"/>
  <c r="X83" i="10"/>
  <c r="X82" i="10"/>
  <c r="X81" i="10"/>
  <c r="X80" i="10"/>
  <c r="X79" i="10"/>
  <c r="X78" i="10"/>
  <c r="X77" i="10"/>
  <c r="X76" i="10"/>
  <c r="X75" i="10"/>
  <c r="X74" i="10"/>
  <c r="X73" i="10"/>
  <c r="X72" i="10"/>
  <c r="X71" i="10"/>
  <c r="A72" i="10"/>
  <c r="O72" i="10"/>
  <c r="Q72" i="10"/>
  <c r="A73" i="10"/>
  <c r="O73" i="10"/>
  <c r="Q73" i="10"/>
  <c r="A74" i="10"/>
  <c r="O74" i="10"/>
  <c r="Q74" i="10"/>
  <c r="A75" i="10"/>
  <c r="O75" i="10"/>
  <c r="Q75" i="10"/>
  <c r="A76" i="10"/>
  <c r="O76" i="10"/>
  <c r="Q76" i="10"/>
  <c r="A77" i="10"/>
  <c r="O77" i="10"/>
  <c r="Q77" i="10"/>
  <c r="A78" i="10"/>
  <c r="O78" i="10"/>
  <c r="Q78" i="10"/>
  <c r="A79" i="10"/>
  <c r="O79" i="10"/>
  <c r="Q79" i="10"/>
  <c r="A80" i="10"/>
  <c r="O80" i="10"/>
  <c r="Q80" i="10"/>
  <c r="A81" i="10"/>
  <c r="O81" i="10"/>
  <c r="Q81" i="10"/>
  <c r="A82" i="10"/>
  <c r="O82" i="10"/>
  <c r="Q82" i="10"/>
  <c r="A83" i="10"/>
  <c r="O83" i="10"/>
  <c r="Q83" i="10"/>
  <c r="A84" i="10"/>
  <c r="O84" i="10"/>
  <c r="Q84" i="10"/>
  <c r="A85" i="10"/>
  <c r="O85" i="10"/>
  <c r="Q85" i="10"/>
  <c r="A86" i="10"/>
  <c r="O86" i="10"/>
  <c r="Q86" i="10"/>
  <c r="A87" i="10"/>
  <c r="A88" i="10"/>
  <c r="A89" i="10"/>
  <c r="A90" i="10"/>
  <c r="O90" i="10"/>
  <c r="U90" i="10" s="1"/>
  <c r="Q90" i="10"/>
  <c r="W90" i="10" s="1"/>
  <c r="E91" i="10"/>
  <c r="X91" i="10"/>
  <c r="A92" i="10"/>
  <c r="O92" i="10"/>
  <c r="Q92" i="10"/>
  <c r="X111" i="10"/>
  <c r="X110" i="10"/>
  <c r="X109" i="10"/>
  <c r="X108" i="10"/>
  <c r="X107" i="10"/>
  <c r="X106" i="10"/>
  <c r="X105" i="10"/>
  <c r="X104" i="10"/>
  <c r="X103" i="10"/>
  <c r="X102" i="10"/>
  <c r="X101" i="10"/>
  <c r="X100" i="10"/>
  <c r="X99" i="10"/>
  <c r="X98" i="10"/>
  <c r="X97" i="10"/>
  <c r="X96" i="10"/>
  <c r="X95" i="10"/>
  <c r="X94" i="10"/>
  <c r="X93" i="10"/>
  <c r="X92" i="10"/>
  <c r="A93" i="10"/>
  <c r="O93" i="10"/>
  <c r="Q93" i="10"/>
  <c r="A94" i="10"/>
  <c r="O94" i="10"/>
  <c r="Q94" i="10"/>
  <c r="A95" i="10"/>
  <c r="O95" i="10"/>
  <c r="Q95" i="10"/>
  <c r="A96" i="10"/>
  <c r="O96" i="10"/>
  <c r="Q96" i="10"/>
  <c r="A97" i="10"/>
  <c r="O97" i="10"/>
  <c r="Q97" i="10"/>
  <c r="A98" i="10"/>
  <c r="O98" i="10"/>
  <c r="Q98" i="10"/>
  <c r="A99" i="10"/>
  <c r="O99" i="10"/>
  <c r="Q99" i="10"/>
  <c r="A100" i="10"/>
  <c r="O100" i="10"/>
  <c r="Q100" i="10"/>
  <c r="A101" i="10"/>
  <c r="O101" i="10"/>
  <c r="Q101" i="10"/>
  <c r="A102" i="10"/>
  <c r="O102" i="10"/>
  <c r="Q102" i="10"/>
  <c r="A103" i="10"/>
  <c r="O103" i="10"/>
  <c r="Q103" i="10"/>
  <c r="A104" i="10"/>
  <c r="O104" i="10"/>
  <c r="Q104" i="10"/>
  <c r="A105" i="10"/>
  <c r="O105" i="10"/>
  <c r="Q105" i="10"/>
  <c r="A106" i="10"/>
  <c r="O106" i="10"/>
  <c r="Q106" i="10"/>
  <c r="A107" i="10"/>
  <c r="O107" i="10"/>
  <c r="Q107" i="10"/>
  <c r="A108" i="10"/>
  <c r="A109" i="10"/>
  <c r="A110" i="10"/>
  <c r="A111" i="10"/>
  <c r="O111" i="10"/>
  <c r="U111" i="10" s="1"/>
  <c r="Q111" i="10"/>
  <c r="W111" i="10" s="1"/>
  <c r="E112" i="10"/>
  <c r="X112" i="10"/>
  <c r="A113" i="10"/>
  <c r="O113" i="10"/>
  <c r="Q113" i="10"/>
  <c r="X132" i="10"/>
  <c r="X131" i="10"/>
  <c r="X130" i="10"/>
  <c r="X129" i="10"/>
  <c r="X128" i="10"/>
  <c r="X127" i="10"/>
  <c r="X126" i="10"/>
  <c r="X125" i="10"/>
  <c r="X124" i="10"/>
  <c r="X123" i="10"/>
  <c r="X122" i="10"/>
  <c r="X121" i="10"/>
  <c r="X120" i="10"/>
  <c r="X119" i="10"/>
  <c r="X118" i="10"/>
  <c r="X117" i="10"/>
  <c r="X116" i="10"/>
  <c r="X115" i="10"/>
  <c r="X114" i="10"/>
  <c r="X113" i="10"/>
  <c r="A114" i="10"/>
  <c r="O114" i="10"/>
  <c r="Q114" i="10"/>
  <c r="A115" i="10"/>
  <c r="O115" i="10"/>
  <c r="Q115" i="10"/>
  <c r="A116" i="10"/>
  <c r="O116" i="10"/>
  <c r="Q116" i="10"/>
  <c r="A117" i="10"/>
  <c r="O117" i="10"/>
  <c r="Q117" i="10"/>
  <c r="A118" i="10"/>
  <c r="O118" i="10"/>
  <c r="Q118" i="10"/>
  <c r="A119" i="10"/>
  <c r="O119" i="10"/>
  <c r="Q119" i="10"/>
  <c r="A120" i="10"/>
  <c r="O120" i="10"/>
  <c r="Q120" i="10"/>
  <c r="A121" i="10"/>
  <c r="O121" i="10"/>
  <c r="Q121" i="10"/>
  <c r="A122" i="10"/>
  <c r="O122" i="10"/>
  <c r="Q122" i="10"/>
  <c r="A123" i="10"/>
  <c r="O123" i="10"/>
  <c r="Q123" i="10"/>
  <c r="A124" i="10"/>
  <c r="O124" i="10"/>
  <c r="Q124" i="10"/>
  <c r="A125" i="10"/>
  <c r="O125" i="10"/>
  <c r="Q125" i="10"/>
  <c r="A126" i="10"/>
  <c r="O126" i="10"/>
  <c r="Q126" i="10"/>
  <c r="A127" i="10"/>
  <c r="O127" i="10"/>
  <c r="Q127" i="10"/>
  <c r="A128" i="10"/>
  <c r="O128" i="10"/>
  <c r="Q128" i="10"/>
  <c r="A129" i="10"/>
  <c r="A130" i="10"/>
  <c r="A131" i="10"/>
  <c r="A132" i="10"/>
  <c r="O132" i="10"/>
  <c r="U132" i="10" s="1"/>
  <c r="Q132" i="10"/>
  <c r="W132" i="10" s="1"/>
  <c r="E133" i="10"/>
  <c r="X133" i="10"/>
  <c r="A134" i="10"/>
  <c r="O134" i="10"/>
  <c r="Q134" i="10"/>
  <c r="X153" i="10"/>
  <c r="X152" i="10"/>
  <c r="X151" i="10"/>
  <c r="X150" i="10"/>
  <c r="X149" i="10"/>
  <c r="X148" i="10"/>
  <c r="X147" i="10"/>
  <c r="X146" i="10"/>
  <c r="X145" i="10"/>
  <c r="X144" i="10"/>
  <c r="X143" i="10"/>
  <c r="X142" i="10"/>
  <c r="X141" i="10"/>
  <c r="X140" i="10"/>
  <c r="X139" i="10"/>
  <c r="X138" i="10"/>
  <c r="X137" i="10"/>
  <c r="X136" i="10"/>
  <c r="X135" i="10"/>
  <c r="X134" i="10"/>
  <c r="A135" i="10"/>
  <c r="O135" i="10"/>
  <c r="Q135" i="10"/>
  <c r="A136" i="10"/>
  <c r="O136" i="10"/>
  <c r="Q136" i="10"/>
  <c r="A137" i="10"/>
  <c r="O137" i="10"/>
  <c r="Q137" i="10"/>
  <c r="A138" i="10"/>
  <c r="O138" i="10"/>
  <c r="Q138" i="10"/>
  <c r="A139" i="10"/>
  <c r="O139" i="10"/>
  <c r="Q139" i="10"/>
  <c r="A140" i="10"/>
  <c r="O140" i="10"/>
  <c r="Q140" i="10"/>
  <c r="A141" i="10"/>
  <c r="O141" i="10"/>
  <c r="Q141" i="10"/>
  <c r="A142" i="10"/>
  <c r="O142" i="10"/>
  <c r="Q142" i="10"/>
  <c r="A143" i="10"/>
  <c r="O143" i="10"/>
  <c r="Q143" i="10"/>
  <c r="A144" i="10"/>
  <c r="O144" i="10"/>
  <c r="Q144" i="10"/>
  <c r="A145" i="10"/>
  <c r="O145" i="10"/>
  <c r="Q145" i="10"/>
  <c r="A146" i="10"/>
  <c r="O146" i="10"/>
  <c r="Q146" i="10"/>
  <c r="A147" i="10"/>
  <c r="O147" i="10"/>
  <c r="Q147" i="10"/>
  <c r="A148" i="10"/>
  <c r="O148" i="10"/>
  <c r="Q148" i="10"/>
  <c r="A149" i="10"/>
  <c r="O149" i="10"/>
  <c r="Q149" i="10"/>
  <c r="A150" i="10"/>
  <c r="A151" i="10"/>
  <c r="A152" i="10"/>
  <c r="A153" i="10"/>
  <c r="O153" i="10"/>
  <c r="U153" i="10" s="1"/>
  <c r="Q153" i="10"/>
  <c r="W153" i="10" s="1"/>
  <c r="E154" i="10"/>
  <c r="X154" i="10"/>
  <c r="A155" i="10"/>
  <c r="O155" i="10"/>
  <c r="Q155" i="10"/>
  <c r="X174" i="10"/>
  <c r="X173" i="10"/>
  <c r="X172" i="10"/>
  <c r="X171" i="10"/>
  <c r="X170" i="10"/>
  <c r="X169" i="10"/>
  <c r="X168" i="10"/>
  <c r="X167" i="10"/>
  <c r="X166" i="10"/>
  <c r="X165" i="10"/>
  <c r="X164" i="10"/>
  <c r="X163" i="10"/>
  <c r="X162" i="10"/>
  <c r="X161" i="10"/>
  <c r="X160" i="10"/>
  <c r="X159" i="10"/>
  <c r="X158" i="10"/>
  <c r="X157" i="10"/>
  <c r="X156" i="10"/>
  <c r="X155" i="10"/>
  <c r="A156" i="10"/>
  <c r="O156" i="10"/>
  <c r="Q156" i="10"/>
  <c r="A157" i="10"/>
  <c r="O157" i="10"/>
  <c r="Q157" i="10"/>
  <c r="A158" i="10"/>
  <c r="O158" i="10"/>
  <c r="Q158" i="10"/>
  <c r="A159" i="10"/>
  <c r="O159" i="10"/>
  <c r="Q159" i="10"/>
  <c r="A160" i="10"/>
  <c r="O160" i="10"/>
  <c r="Q160" i="10"/>
  <c r="A161" i="10"/>
  <c r="O161" i="10"/>
  <c r="Q161" i="10"/>
  <c r="A162" i="10"/>
  <c r="O162" i="10"/>
  <c r="Q162" i="10"/>
  <c r="A163" i="10"/>
  <c r="O163" i="10"/>
  <c r="Q163" i="10"/>
  <c r="A164" i="10"/>
  <c r="O164" i="10"/>
  <c r="Q164" i="10"/>
  <c r="A165" i="10"/>
  <c r="O165" i="10"/>
  <c r="Q165" i="10"/>
  <c r="A166" i="10"/>
  <c r="O166" i="10"/>
  <c r="Q166" i="10"/>
  <c r="A167" i="10"/>
  <c r="O167" i="10"/>
  <c r="Q167" i="10"/>
  <c r="A168" i="10"/>
  <c r="O168" i="10"/>
  <c r="Q168" i="10"/>
  <c r="A169" i="10"/>
  <c r="O169" i="10"/>
  <c r="Q169" i="10"/>
  <c r="A170" i="10"/>
  <c r="O170" i="10"/>
  <c r="Q170" i="10"/>
  <c r="A171" i="10"/>
  <c r="A172" i="10"/>
  <c r="A173" i="10"/>
  <c r="A174" i="10"/>
  <c r="O174" i="10"/>
  <c r="U174" i="10" s="1"/>
  <c r="Q174" i="10"/>
  <c r="W174" i="10" s="1"/>
  <c r="E175" i="10"/>
  <c r="X175" i="10"/>
  <c r="A176" i="10"/>
  <c r="O176" i="10"/>
  <c r="Q176" i="10"/>
  <c r="X195" i="10"/>
  <c r="X194" i="10"/>
  <c r="X193" i="10"/>
  <c r="X192" i="10"/>
  <c r="X191" i="10"/>
  <c r="X190" i="10"/>
  <c r="X189" i="10"/>
  <c r="X188" i="10"/>
  <c r="X187" i="10"/>
  <c r="X186" i="10"/>
  <c r="X185" i="10"/>
  <c r="X184" i="10"/>
  <c r="X183" i="10"/>
  <c r="X182" i="10"/>
  <c r="X181" i="10"/>
  <c r="X180" i="10"/>
  <c r="X179" i="10"/>
  <c r="X178" i="10"/>
  <c r="X177" i="10"/>
  <c r="X176" i="10"/>
  <c r="A177" i="10"/>
  <c r="O177" i="10"/>
  <c r="Q177" i="10"/>
  <c r="A178" i="10"/>
  <c r="O178" i="10"/>
  <c r="Q178" i="10"/>
  <c r="A179" i="10"/>
  <c r="O179" i="10"/>
  <c r="Q179" i="10"/>
  <c r="A180" i="10"/>
  <c r="O180" i="10"/>
  <c r="Q180" i="10"/>
  <c r="A181" i="10"/>
  <c r="O181" i="10"/>
  <c r="Q181" i="10"/>
  <c r="A182" i="10"/>
  <c r="O182" i="10"/>
  <c r="Q182" i="10"/>
  <c r="A183" i="10"/>
  <c r="O183" i="10"/>
  <c r="Q183" i="10"/>
  <c r="A184" i="10"/>
  <c r="O184" i="10"/>
  <c r="Q184" i="10"/>
  <c r="A185" i="10"/>
  <c r="O185" i="10"/>
  <c r="Q185" i="10"/>
  <c r="A186" i="10"/>
  <c r="O186" i="10"/>
  <c r="Q186" i="10"/>
  <c r="A187" i="10"/>
  <c r="O187" i="10"/>
  <c r="Q187" i="10"/>
  <c r="A188" i="10"/>
  <c r="O188" i="10"/>
  <c r="Q188" i="10"/>
  <c r="A189" i="10"/>
  <c r="O189" i="10"/>
  <c r="Q189" i="10"/>
  <c r="A190" i="10"/>
  <c r="O190" i="10"/>
  <c r="Q190" i="10"/>
  <c r="A191" i="10"/>
  <c r="O191" i="10"/>
  <c r="Q191" i="10"/>
  <c r="A192" i="10"/>
  <c r="A193" i="10"/>
  <c r="A194" i="10"/>
  <c r="A195" i="10"/>
  <c r="O195" i="10"/>
  <c r="U195" i="10" s="1"/>
  <c r="Q195" i="10"/>
  <c r="W195" i="10" s="1"/>
  <c r="E196" i="10"/>
  <c r="X196" i="10"/>
  <c r="A197" i="10"/>
  <c r="O197" i="10"/>
  <c r="Q197" i="10"/>
  <c r="X216" i="10"/>
  <c r="X215" i="10"/>
  <c r="X214" i="10"/>
  <c r="X213" i="10"/>
  <c r="X212" i="10"/>
  <c r="X211" i="10"/>
  <c r="X210" i="10"/>
  <c r="X209" i="10"/>
  <c r="X208" i="10"/>
  <c r="X207" i="10"/>
  <c r="X206" i="10"/>
  <c r="X205" i="10"/>
  <c r="X204" i="10"/>
  <c r="X203" i="10"/>
  <c r="X202" i="10"/>
  <c r="X201" i="10"/>
  <c r="X200" i="10"/>
  <c r="R198" i="10" s="1"/>
  <c r="U198" i="10" s="1"/>
  <c r="X199" i="10"/>
  <c r="X198" i="10"/>
  <c r="X197" i="10"/>
  <c r="A198" i="10"/>
  <c r="O198" i="10"/>
  <c r="Q198" i="10"/>
  <c r="A199" i="10"/>
  <c r="O199" i="10"/>
  <c r="Q199" i="10"/>
  <c r="A200" i="10"/>
  <c r="O200" i="10"/>
  <c r="Q200" i="10"/>
  <c r="A201" i="10"/>
  <c r="O201" i="10"/>
  <c r="Q201" i="10"/>
  <c r="A202" i="10"/>
  <c r="O202" i="10"/>
  <c r="Q202" i="10"/>
  <c r="A203" i="10"/>
  <c r="O203" i="10"/>
  <c r="Q203" i="10"/>
  <c r="A204" i="10"/>
  <c r="O204" i="10"/>
  <c r="Q204" i="10"/>
  <c r="A205" i="10"/>
  <c r="O205" i="10"/>
  <c r="Q205" i="10"/>
  <c r="A206" i="10"/>
  <c r="O206" i="10"/>
  <c r="Q206" i="10"/>
  <c r="A207" i="10"/>
  <c r="O207" i="10"/>
  <c r="Q207" i="10"/>
  <c r="A208" i="10"/>
  <c r="O208" i="10"/>
  <c r="Q208" i="10"/>
  <c r="A209" i="10"/>
  <c r="O209" i="10"/>
  <c r="Q209" i="10"/>
  <c r="A210" i="10"/>
  <c r="O210" i="10"/>
  <c r="Q210" i="10"/>
  <c r="A211" i="10"/>
  <c r="O211" i="10"/>
  <c r="Q211" i="10"/>
  <c r="A212" i="10"/>
  <c r="O212" i="10"/>
  <c r="Q212" i="10"/>
  <c r="A213" i="10"/>
  <c r="A214" i="10"/>
  <c r="A215" i="10"/>
  <c r="A216" i="10"/>
  <c r="O216" i="10"/>
  <c r="U216" i="10" s="1"/>
  <c r="Q216" i="10"/>
  <c r="W216" i="10" s="1"/>
  <c r="E217" i="10"/>
  <c r="X217" i="10"/>
  <c r="A218" i="10"/>
  <c r="O218" i="10"/>
  <c r="Q218" i="10"/>
  <c r="X237" i="10"/>
  <c r="X236" i="10"/>
  <c r="X235" i="10"/>
  <c r="X234" i="10"/>
  <c r="X233" i="10"/>
  <c r="X232" i="10"/>
  <c r="X231" i="10"/>
  <c r="X230" i="10"/>
  <c r="X229" i="10"/>
  <c r="X228" i="10"/>
  <c r="X227" i="10"/>
  <c r="X226" i="10"/>
  <c r="X225" i="10"/>
  <c r="X224" i="10"/>
  <c r="X223" i="10"/>
  <c r="X222" i="10"/>
  <c r="X221" i="10"/>
  <c r="X220" i="10"/>
  <c r="X219" i="10"/>
  <c r="X218" i="10"/>
  <c r="A219" i="10"/>
  <c r="O219" i="10"/>
  <c r="Q219" i="10"/>
  <c r="A220" i="10"/>
  <c r="O220" i="10"/>
  <c r="Q220" i="10"/>
  <c r="A221" i="10"/>
  <c r="O221" i="10"/>
  <c r="Q221" i="10"/>
  <c r="A222" i="10"/>
  <c r="O222" i="10"/>
  <c r="Q222" i="10"/>
  <c r="A223" i="10"/>
  <c r="O223" i="10"/>
  <c r="Q223" i="10"/>
  <c r="A224" i="10"/>
  <c r="O224" i="10"/>
  <c r="Q224" i="10"/>
  <c r="A225" i="10"/>
  <c r="O225" i="10"/>
  <c r="Q225" i="10"/>
  <c r="A226" i="10"/>
  <c r="O226" i="10"/>
  <c r="Q226" i="10"/>
  <c r="A227" i="10"/>
  <c r="O227" i="10"/>
  <c r="Q227" i="10"/>
  <c r="A228" i="10"/>
  <c r="O228" i="10"/>
  <c r="Q228" i="10"/>
  <c r="A229" i="10"/>
  <c r="O229" i="10"/>
  <c r="Q229" i="10"/>
  <c r="A230" i="10"/>
  <c r="O230" i="10"/>
  <c r="Q230" i="10"/>
  <c r="A231" i="10"/>
  <c r="O231" i="10"/>
  <c r="Q231" i="10"/>
  <c r="A232" i="10"/>
  <c r="O232" i="10"/>
  <c r="Q232" i="10"/>
  <c r="A233" i="10"/>
  <c r="O233" i="10"/>
  <c r="Q233" i="10"/>
  <c r="A234" i="10"/>
  <c r="A235" i="10"/>
  <c r="A236" i="10"/>
  <c r="A237" i="10"/>
  <c r="O237" i="10"/>
  <c r="U237" i="10" s="1"/>
  <c r="Q237" i="10"/>
  <c r="W237" i="10" s="1"/>
  <c r="E238" i="10"/>
  <c r="X238" i="10"/>
  <c r="A239" i="10"/>
  <c r="O239" i="10"/>
  <c r="Q239" i="10"/>
  <c r="X258" i="10"/>
  <c r="X257" i="10"/>
  <c r="X256" i="10"/>
  <c r="X255" i="10"/>
  <c r="X254" i="10"/>
  <c r="X253" i="10"/>
  <c r="X252" i="10"/>
  <c r="X251" i="10"/>
  <c r="X250" i="10"/>
  <c r="X249" i="10"/>
  <c r="X248" i="10"/>
  <c r="X247" i="10"/>
  <c r="X246" i="10"/>
  <c r="X245" i="10"/>
  <c r="X244" i="10"/>
  <c r="X243" i="10"/>
  <c r="X242" i="10"/>
  <c r="X241" i="10"/>
  <c r="X240" i="10"/>
  <c r="X239" i="10"/>
  <c r="A240" i="10"/>
  <c r="O240" i="10"/>
  <c r="Q240" i="10"/>
  <c r="A241" i="10"/>
  <c r="O241" i="10"/>
  <c r="Q241" i="10"/>
  <c r="A242" i="10"/>
  <c r="O242" i="10"/>
  <c r="Q242" i="10"/>
  <c r="A243" i="10"/>
  <c r="O243" i="10"/>
  <c r="Q243" i="10"/>
  <c r="A244" i="10"/>
  <c r="O244" i="10"/>
  <c r="Q244" i="10"/>
  <c r="A245" i="10"/>
  <c r="O245" i="10"/>
  <c r="Q245" i="10"/>
  <c r="A246" i="10"/>
  <c r="O246" i="10"/>
  <c r="Q246" i="10"/>
  <c r="A247" i="10"/>
  <c r="O247" i="10"/>
  <c r="Q247" i="10"/>
  <c r="A248" i="10"/>
  <c r="O248" i="10"/>
  <c r="Q248" i="10"/>
  <c r="A249" i="10"/>
  <c r="O249" i="10"/>
  <c r="Q249" i="10"/>
  <c r="A250" i="10"/>
  <c r="O250" i="10"/>
  <c r="Q250" i="10"/>
  <c r="A251" i="10"/>
  <c r="O251" i="10"/>
  <c r="Q251" i="10"/>
  <c r="A252" i="10"/>
  <c r="O252" i="10"/>
  <c r="Q252" i="10"/>
  <c r="A253" i="10"/>
  <c r="O253" i="10"/>
  <c r="Q253" i="10"/>
  <c r="A254" i="10"/>
  <c r="O254" i="10"/>
  <c r="Q254" i="10"/>
  <c r="A255" i="10"/>
  <c r="A256" i="10"/>
  <c r="A257" i="10"/>
  <c r="A258" i="10"/>
  <c r="O258" i="10"/>
  <c r="U258" i="10" s="1"/>
  <c r="Q258" i="10"/>
  <c r="W258" i="10" s="1"/>
  <c r="E259" i="10"/>
  <c r="X259" i="10"/>
  <c r="A260" i="10"/>
  <c r="O260" i="10"/>
  <c r="Q260" i="10"/>
  <c r="X279" i="10"/>
  <c r="X278" i="10"/>
  <c r="X277" i="10"/>
  <c r="X276" i="10"/>
  <c r="X275" i="10"/>
  <c r="X274" i="10"/>
  <c r="X273" i="10"/>
  <c r="X272" i="10"/>
  <c r="X271" i="10"/>
  <c r="X270" i="10"/>
  <c r="X269" i="10"/>
  <c r="X268" i="10"/>
  <c r="X267" i="10"/>
  <c r="X266" i="10"/>
  <c r="X265" i="10"/>
  <c r="X264" i="10"/>
  <c r="X263" i="10"/>
  <c r="X262" i="10"/>
  <c r="X261" i="10"/>
  <c r="X260" i="10"/>
  <c r="A261" i="10"/>
  <c r="O261" i="10"/>
  <c r="Q261" i="10"/>
  <c r="A262" i="10"/>
  <c r="O262" i="10"/>
  <c r="Q262" i="10"/>
  <c r="A263" i="10"/>
  <c r="O263" i="10"/>
  <c r="Q263" i="10"/>
  <c r="A264" i="10"/>
  <c r="O264" i="10"/>
  <c r="Q264" i="10"/>
  <c r="A265" i="10"/>
  <c r="O265" i="10"/>
  <c r="Q265" i="10"/>
  <c r="A266" i="10"/>
  <c r="O266" i="10"/>
  <c r="Q266" i="10"/>
  <c r="A267" i="10"/>
  <c r="O267" i="10"/>
  <c r="Q267" i="10"/>
  <c r="A268" i="10"/>
  <c r="O268" i="10"/>
  <c r="Q268" i="10"/>
  <c r="A269" i="10"/>
  <c r="O269" i="10"/>
  <c r="Q269" i="10"/>
  <c r="A270" i="10"/>
  <c r="O270" i="10"/>
  <c r="Q270" i="10"/>
  <c r="A271" i="10"/>
  <c r="O271" i="10"/>
  <c r="Q271" i="10"/>
  <c r="A272" i="10"/>
  <c r="O272" i="10"/>
  <c r="Q272" i="10"/>
  <c r="A273" i="10"/>
  <c r="O273" i="10"/>
  <c r="Q273" i="10"/>
  <c r="A274" i="10"/>
  <c r="O274" i="10"/>
  <c r="Q274" i="10"/>
  <c r="A275" i="10"/>
  <c r="O275" i="10"/>
  <c r="Q275" i="10"/>
  <c r="A276" i="10"/>
  <c r="A277" i="10"/>
  <c r="A278" i="10"/>
  <c r="A279" i="10"/>
  <c r="O279" i="10"/>
  <c r="U279" i="10" s="1"/>
  <c r="Q279" i="10"/>
  <c r="W279" i="10" s="1"/>
  <c r="E280" i="10"/>
  <c r="X280" i="10"/>
  <c r="A281" i="10"/>
  <c r="O281" i="10"/>
  <c r="Q281" i="10"/>
  <c r="X300" i="10"/>
  <c r="X299" i="10"/>
  <c r="X298" i="10"/>
  <c r="X297" i="10"/>
  <c r="X296" i="10"/>
  <c r="X295" i="10"/>
  <c r="X294" i="10"/>
  <c r="X293" i="10"/>
  <c r="X292" i="10"/>
  <c r="X291" i="10"/>
  <c r="X290" i="10"/>
  <c r="X289" i="10"/>
  <c r="X288" i="10"/>
  <c r="X287" i="10"/>
  <c r="X286" i="10"/>
  <c r="X285" i="10"/>
  <c r="X284" i="10"/>
  <c r="X283" i="10"/>
  <c r="X282" i="10"/>
  <c r="X281" i="10"/>
  <c r="A282" i="10"/>
  <c r="O282" i="10"/>
  <c r="Q282" i="10"/>
  <c r="A283" i="10"/>
  <c r="O283" i="10"/>
  <c r="Q283" i="10"/>
  <c r="A284" i="10"/>
  <c r="O284" i="10"/>
  <c r="Q284" i="10"/>
  <c r="A285" i="10"/>
  <c r="O285" i="10"/>
  <c r="Q285" i="10"/>
  <c r="A286" i="10"/>
  <c r="O286" i="10"/>
  <c r="Q286" i="10"/>
  <c r="A287" i="10"/>
  <c r="O287" i="10"/>
  <c r="Q287" i="10"/>
  <c r="A288" i="10"/>
  <c r="O288" i="10"/>
  <c r="Q288" i="10"/>
  <c r="A289" i="10"/>
  <c r="O289" i="10"/>
  <c r="Q289" i="10"/>
  <c r="A290" i="10"/>
  <c r="O290" i="10"/>
  <c r="Q290" i="10"/>
  <c r="A291" i="10"/>
  <c r="O291" i="10"/>
  <c r="Q291" i="10"/>
  <c r="A292" i="10"/>
  <c r="O292" i="10"/>
  <c r="Q292" i="10"/>
  <c r="A293" i="10"/>
  <c r="O293" i="10"/>
  <c r="Q293" i="10"/>
  <c r="A294" i="10"/>
  <c r="O294" i="10"/>
  <c r="Q294" i="10"/>
  <c r="A295" i="10"/>
  <c r="O295" i="10"/>
  <c r="Q295" i="10"/>
  <c r="A296" i="10"/>
  <c r="O296" i="10"/>
  <c r="Q296" i="10"/>
  <c r="A297" i="10"/>
  <c r="A298" i="10"/>
  <c r="A299" i="10"/>
  <c r="A300" i="10"/>
  <c r="O300" i="10"/>
  <c r="U300" i="10" s="1"/>
  <c r="Q300" i="10"/>
  <c r="W300" i="10" s="1"/>
  <c r="E301" i="10"/>
  <c r="X301" i="10"/>
  <c r="A302" i="10"/>
  <c r="O302" i="10"/>
  <c r="Q302" i="10"/>
  <c r="X321" i="10"/>
  <c r="X320" i="10"/>
  <c r="X319" i="10"/>
  <c r="X318" i="10"/>
  <c r="X317" i="10"/>
  <c r="X316" i="10"/>
  <c r="X315" i="10"/>
  <c r="X314" i="10"/>
  <c r="X313" i="10"/>
  <c r="X312" i="10"/>
  <c r="X311" i="10"/>
  <c r="X310" i="10"/>
  <c r="X309" i="10"/>
  <c r="X308" i="10"/>
  <c r="X307" i="10"/>
  <c r="X306" i="10"/>
  <c r="X305" i="10"/>
  <c r="X304" i="10"/>
  <c r="X303" i="10"/>
  <c r="X302" i="10"/>
  <c r="A303" i="10"/>
  <c r="O303" i="10"/>
  <c r="Q303" i="10"/>
  <c r="A304" i="10"/>
  <c r="O304" i="10"/>
  <c r="Q304" i="10"/>
  <c r="A305" i="10"/>
  <c r="O305" i="10"/>
  <c r="Q305" i="10"/>
  <c r="A306" i="10"/>
  <c r="O306" i="10"/>
  <c r="Q306" i="10"/>
  <c r="A307" i="10"/>
  <c r="O307" i="10"/>
  <c r="Q307" i="10"/>
  <c r="A308" i="10"/>
  <c r="O308" i="10"/>
  <c r="Q308" i="10"/>
  <c r="A309" i="10"/>
  <c r="O309" i="10"/>
  <c r="Q309" i="10"/>
  <c r="A310" i="10"/>
  <c r="O310" i="10"/>
  <c r="Q310" i="10"/>
  <c r="A311" i="10"/>
  <c r="O311" i="10"/>
  <c r="Q311" i="10"/>
  <c r="A312" i="10"/>
  <c r="O312" i="10"/>
  <c r="Q312" i="10"/>
  <c r="A313" i="10"/>
  <c r="O313" i="10"/>
  <c r="Q313" i="10"/>
  <c r="A314" i="10"/>
  <c r="O314" i="10"/>
  <c r="Q314" i="10"/>
  <c r="A315" i="10"/>
  <c r="O315" i="10"/>
  <c r="Q315" i="10"/>
  <c r="A316" i="10"/>
  <c r="O316" i="10"/>
  <c r="Q316" i="10"/>
  <c r="A317" i="10"/>
  <c r="O317" i="10"/>
  <c r="Q317" i="10"/>
  <c r="A318" i="10"/>
  <c r="A319" i="10"/>
  <c r="A320" i="10"/>
  <c r="A321" i="10"/>
  <c r="O321" i="10"/>
  <c r="U321" i="10" s="1"/>
  <c r="Q321" i="10"/>
  <c r="W321" i="10" s="1"/>
  <c r="E322" i="10"/>
  <c r="X322" i="10"/>
  <c r="A323" i="10"/>
  <c r="O323" i="10"/>
  <c r="Q323" i="10"/>
  <c r="X342" i="10"/>
  <c r="X341" i="10"/>
  <c r="X340" i="10"/>
  <c r="X339" i="10"/>
  <c r="X338" i="10"/>
  <c r="X337" i="10"/>
  <c r="X336" i="10"/>
  <c r="X335" i="10"/>
  <c r="X334" i="10"/>
  <c r="X333" i="10"/>
  <c r="X332" i="10"/>
  <c r="X331" i="10"/>
  <c r="X330" i="10"/>
  <c r="X329" i="10"/>
  <c r="X328" i="10"/>
  <c r="X327" i="10"/>
  <c r="X326" i="10"/>
  <c r="X325" i="10"/>
  <c r="X324" i="10"/>
  <c r="X323" i="10"/>
  <c r="A324" i="10"/>
  <c r="O324" i="10"/>
  <c r="Q324" i="10"/>
  <c r="A325" i="10"/>
  <c r="O325" i="10"/>
  <c r="Q325" i="10"/>
  <c r="A326" i="10"/>
  <c r="O326" i="10"/>
  <c r="Q326" i="10"/>
  <c r="A327" i="10"/>
  <c r="O327" i="10"/>
  <c r="Q327" i="10"/>
  <c r="A328" i="10"/>
  <c r="O328" i="10"/>
  <c r="Q328" i="10"/>
  <c r="A329" i="10"/>
  <c r="O329" i="10"/>
  <c r="Q329" i="10"/>
  <c r="A330" i="10"/>
  <c r="O330" i="10"/>
  <c r="Q330" i="10"/>
  <c r="A331" i="10"/>
  <c r="O331" i="10"/>
  <c r="Q331" i="10"/>
  <c r="A332" i="10"/>
  <c r="O332" i="10"/>
  <c r="Q332" i="10"/>
  <c r="A333" i="10"/>
  <c r="O333" i="10"/>
  <c r="Q333" i="10"/>
  <c r="A334" i="10"/>
  <c r="O334" i="10"/>
  <c r="Q334" i="10"/>
  <c r="A335" i="10"/>
  <c r="O335" i="10"/>
  <c r="Q335" i="10"/>
  <c r="A336" i="10"/>
  <c r="O336" i="10"/>
  <c r="Q336" i="10"/>
  <c r="A337" i="10"/>
  <c r="O337" i="10"/>
  <c r="Q337" i="10"/>
  <c r="A338" i="10"/>
  <c r="O338" i="10"/>
  <c r="Q338" i="10"/>
  <c r="A339" i="10"/>
  <c r="A340" i="10"/>
  <c r="A341" i="10"/>
  <c r="A342" i="10"/>
  <c r="O342" i="10"/>
  <c r="U342" i="10" s="1"/>
  <c r="Q342" i="10"/>
  <c r="W342" i="10" s="1"/>
  <c r="E343" i="10"/>
  <c r="X343" i="10"/>
  <c r="A344" i="10"/>
  <c r="O344" i="10"/>
  <c r="Q344" i="10"/>
  <c r="X363" i="10"/>
  <c r="X362" i="10"/>
  <c r="X361" i="10"/>
  <c r="X360" i="10"/>
  <c r="X359" i="10"/>
  <c r="X358" i="10"/>
  <c r="X357" i="10"/>
  <c r="X356" i="10"/>
  <c r="X355" i="10"/>
  <c r="X354" i="10"/>
  <c r="X353" i="10"/>
  <c r="X352" i="10"/>
  <c r="X351" i="10"/>
  <c r="X350" i="10"/>
  <c r="X349" i="10"/>
  <c r="X348" i="10"/>
  <c r="X347" i="10"/>
  <c r="X346" i="10"/>
  <c r="X345" i="10"/>
  <c r="X344" i="10"/>
  <c r="A345" i="10"/>
  <c r="O345" i="10"/>
  <c r="Q345" i="10"/>
  <c r="A346" i="10"/>
  <c r="O346" i="10"/>
  <c r="Q346" i="10"/>
  <c r="A347" i="10"/>
  <c r="O347" i="10"/>
  <c r="Q347" i="10"/>
  <c r="A348" i="10"/>
  <c r="O348" i="10"/>
  <c r="Q348" i="10"/>
  <c r="A349" i="10"/>
  <c r="O349" i="10"/>
  <c r="Q349" i="10"/>
  <c r="A350" i="10"/>
  <c r="O350" i="10"/>
  <c r="Q350" i="10"/>
  <c r="A351" i="10"/>
  <c r="O351" i="10"/>
  <c r="Q351" i="10"/>
  <c r="A352" i="10"/>
  <c r="O352" i="10"/>
  <c r="Q352" i="10"/>
  <c r="A353" i="10"/>
  <c r="O353" i="10"/>
  <c r="Q353" i="10"/>
  <c r="A354" i="10"/>
  <c r="O354" i="10"/>
  <c r="Q354" i="10"/>
  <c r="A355" i="10"/>
  <c r="O355" i="10"/>
  <c r="Q355" i="10"/>
  <c r="A356" i="10"/>
  <c r="O356" i="10"/>
  <c r="Q356" i="10"/>
  <c r="A357" i="10"/>
  <c r="O357" i="10"/>
  <c r="Q357" i="10"/>
  <c r="A358" i="10"/>
  <c r="O358" i="10"/>
  <c r="Q358" i="10"/>
  <c r="A359" i="10"/>
  <c r="O359" i="10"/>
  <c r="Q359" i="10"/>
  <c r="A360" i="10"/>
  <c r="A361" i="10"/>
  <c r="A362" i="10"/>
  <c r="A363" i="10"/>
  <c r="O363" i="10"/>
  <c r="U363" i="10" s="1"/>
  <c r="Q363" i="10"/>
  <c r="W363" i="10" s="1"/>
  <c r="E364" i="10"/>
  <c r="X364" i="10"/>
  <c r="A365" i="10"/>
  <c r="O365" i="10"/>
  <c r="Q365" i="10"/>
  <c r="X384" i="10"/>
  <c r="X383" i="10"/>
  <c r="X382" i="10"/>
  <c r="X381" i="10"/>
  <c r="X380" i="10"/>
  <c r="X379" i="10"/>
  <c r="X378" i="10"/>
  <c r="X377" i="10"/>
  <c r="X376" i="10"/>
  <c r="X375" i="10"/>
  <c r="X374" i="10"/>
  <c r="X373" i="10"/>
  <c r="X372" i="10"/>
  <c r="X371" i="10"/>
  <c r="X370" i="10"/>
  <c r="X369" i="10"/>
  <c r="X368" i="10"/>
  <c r="X367" i="10"/>
  <c r="X366" i="10"/>
  <c r="X365" i="10"/>
  <c r="A366" i="10"/>
  <c r="O366" i="10"/>
  <c r="Q366" i="10"/>
  <c r="A367" i="10"/>
  <c r="O367" i="10"/>
  <c r="Q367" i="10"/>
  <c r="A368" i="10"/>
  <c r="O368" i="10"/>
  <c r="Q368" i="10"/>
  <c r="A369" i="10"/>
  <c r="O369" i="10"/>
  <c r="Q369" i="10"/>
  <c r="A370" i="10"/>
  <c r="O370" i="10"/>
  <c r="Q370" i="10"/>
  <c r="A371" i="10"/>
  <c r="O371" i="10"/>
  <c r="Q371" i="10"/>
  <c r="A372" i="10"/>
  <c r="O372" i="10"/>
  <c r="Q372" i="10"/>
  <c r="A373" i="10"/>
  <c r="O373" i="10"/>
  <c r="Q373" i="10"/>
  <c r="A374" i="10"/>
  <c r="O374" i="10"/>
  <c r="Q374" i="10"/>
  <c r="A375" i="10"/>
  <c r="O375" i="10"/>
  <c r="Q375" i="10"/>
  <c r="A376" i="10"/>
  <c r="O376" i="10"/>
  <c r="Q376" i="10"/>
  <c r="A377" i="10"/>
  <c r="O377" i="10"/>
  <c r="Q377" i="10"/>
  <c r="A378" i="10"/>
  <c r="O378" i="10"/>
  <c r="Q378" i="10"/>
  <c r="A379" i="10"/>
  <c r="O379" i="10"/>
  <c r="Q379" i="10"/>
  <c r="A380" i="10"/>
  <c r="O380" i="10"/>
  <c r="Q380" i="10"/>
  <c r="A381" i="10"/>
  <c r="A382" i="10"/>
  <c r="A383" i="10"/>
  <c r="A384" i="10"/>
  <c r="O384" i="10"/>
  <c r="U384" i="10" s="1"/>
  <c r="Q384" i="10"/>
  <c r="W384" i="10" s="1"/>
  <c r="E385" i="10"/>
  <c r="X385" i="10"/>
  <c r="A386" i="10"/>
  <c r="O386" i="10"/>
  <c r="Q386" i="10"/>
  <c r="X405" i="10"/>
  <c r="X404" i="10"/>
  <c r="X403" i="10"/>
  <c r="X402" i="10"/>
  <c r="X401" i="10"/>
  <c r="X400" i="10"/>
  <c r="X399" i="10"/>
  <c r="X398" i="10"/>
  <c r="X397" i="10"/>
  <c r="X396" i="10"/>
  <c r="X395" i="10"/>
  <c r="X394" i="10"/>
  <c r="X393" i="10"/>
  <c r="X392" i="10"/>
  <c r="X391" i="10"/>
  <c r="X390" i="10"/>
  <c r="X389" i="10"/>
  <c r="X388" i="10"/>
  <c r="X387" i="10"/>
  <c r="X386" i="10"/>
  <c r="A387" i="10"/>
  <c r="O387" i="10"/>
  <c r="Q387" i="10"/>
  <c r="A388" i="10"/>
  <c r="O388" i="10"/>
  <c r="Q388" i="10"/>
  <c r="A389" i="10"/>
  <c r="O389" i="10"/>
  <c r="Q389" i="10"/>
  <c r="A390" i="10"/>
  <c r="O390" i="10"/>
  <c r="Q390" i="10"/>
  <c r="A391" i="10"/>
  <c r="O391" i="10"/>
  <c r="Q391" i="10"/>
  <c r="A392" i="10"/>
  <c r="O392" i="10"/>
  <c r="Q392" i="10"/>
  <c r="A393" i="10"/>
  <c r="O393" i="10"/>
  <c r="Q393" i="10"/>
  <c r="A394" i="10"/>
  <c r="O394" i="10"/>
  <c r="Q394" i="10"/>
  <c r="A395" i="10"/>
  <c r="O395" i="10"/>
  <c r="Q395" i="10"/>
  <c r="A396" i="10"/>
  <c r="O396" i="10"/>
  <c r="Q396" i="10"/>
  <c r="A397" i="10"/>
  <c r="O397" i="10"/>
  <c r="Q397" i="10"/>
  <c r="A398" i="10"/>
  <c r="O398" i="10"/>
  <c r="Q398" i="10"/>
  <c r="A399" i="10"/>
  <c r="O399" i="10"/>
  <c r="Q399" i="10"/>
  <c r="A400" i="10"/>
  <c r="O400" i="10"/>
  <c r="Q400" i="10"/>
  <c r="A401" i="10"/>
  <c r="O401" i="10"/>
  <c r="Q401" i="10"/>
  <c r="A402" i="10"/>
  <c r="A403" i="10"/>
  <c r="A404" i="10"/>
  <c r="A405" i="10"/>
  <c r="O405" i="10"/>
  <c r="U405" i="10" s="1"/>
  <c r="Q405" i="10"/>
  <c r="W405" i="10" s="1"/>
  <c r="E406" i="10"/>
  <c r="X406" i="10"/>
  <c r="A407" i="10"/>
  <c r="O407" i="10"/>
  <c r="Q407" i="10"/>
  <c r="X426" i="10"/>
  <c r="X425" i="10"/>
  <c r="X424" i="10"/>
  <c r="X423" i="10"/>
  <c r="X422" i="10"/>
  <c r="X421" i="10"/>
  <c r="X420" i="10"/>
  <c r="X419" i="10"/>
  <c r="X418" i="10"/>
  <c r="X417" i="10"/>
  <c r="X416" i="10"/>
  <c r="X415" i="10"/>
  <c r="X414" i="10"/>
  <c r="X413" i="10"/>
  <c r="X412" i="10"/>
  <c r="X411" i="10"/>
  <c r="X410" i="10"/>
  <c r="T409" i="10" s="1"/>
  <c r="W409" i="10" s="1"/>
  <c r="X409" i="10"/>
  <c r="X408" i="10"/>
  <c r="X407" i="10"/>
  <c r="A408" i="10"/>
  <c r="O408" i="10"/>
  <c r="Q408" i="10"/>
  <c r="A409" i="10"/>
  <c r="O409" i="10"/>
  <c r="Q409" i="10"/>
  <c r="A410" i="10"/>
  <c r="O410" i="10"/>
  <c r="Q410" i="10"/>
  <c r="A411" i="10"/>
  <c r="O411" i="10"/>
  <c r="Q411" i="10"/>
  <c r="A412" i="10"/>
  <c r="O412" i="10"/>
  <c r="Q412" i="10"/>
  <c r="A413" i="10"/>
  <c r="O413" i="10"/>
  <c r="Q413" i="10"/>
  <c r="A414" i="10"/>
  <c r="O414" i="10"/>
  <c r="Q414" i="10"/>
  <c r="A415" i="10"/>
  <c r="O415" i="10"/>
  <c r="Q415" i="10"/>
  <c r="A416" i="10"/>
  <c r="O416" i="10"/>
  <c r="Q416" i="10"/>
  <c r="A417" i="10"/>
  <c r="O417" i="10"/>
  <c r="Q417" i="10"/>
  <c r="A418" i="10"/>
  <c r="O418" i="10"/>
  <c r="Q418" i="10"/>
  <c r="A419" i="10"/>
  <c r="O419" i="10"/>
  <c r="Q419" i="10"/>
  <c r="A420" i="10"/>
  <c r="O420" i="10"/>
  <c r="Q420" i="10"/>
  <c r="A421" i="10"/>
  <c r="O421" i="10"/>
  <c r="Q421" i="10"/>
  <c r="A422" i="10"/>
  <c r="O422" i="10"/>
  <c r="Q422" i="10"/>
  <c r="A423" i="10"/>
  <c r="A424" i="10"/>
  <c r="A425" i="10"/>
  <c r="A426" i="10"/>
  <c r="O426" i="10"/>
  <c r="U426" i="10" s="1"/>
  <c r="Q426" i="10"/>
  <c r="W426" i="10" s="1"/>
  <c r="E427" i="10"/>
  <c r="X427" i="10"/>
  <c r="A8" i="9"/>
  <c r="O8" i="9"/>
  <c r="Q8" i="9"/>
  <c r="X27" i="9"/>
  <c r="X26" i="9"/>
  <c r="X25" i="9"/>
  <c r="X24" i="9"/>
  <c r="X23" i="9"/>
  <c r="X22" i="9"/>
  <c r="X21" i="9"/>
  <c r="X20" i="9"/>
  <c r="X19" i="9"/>
  <c r="X18" i="9"/>
  <c r="X17" i="9"/>
  <c r="X16" i="9"/>
  <c r="X15" i="9"/>
  <c r="X14" i="9"/>
  <c r="X13" i="9"/>
  <c r="X12" i="9"/>
  <c r="X11" i="9"/>
  <c r="X10" i="9"/>
  <c r="X9" i="9"/>
  <c r="X8" i="9"/>
  <c r="A9" i="9"/>
  <c r="O9" i="9"/>
  <c r="Q9" i="9"/>
  <c r="A10" i="9"/>
  <c r="O10" i="9"/>
  <c r="Q10" i="9"/>
  <c r="A11" i="9"/>
  <c r="O11" i="9"/>
  <c r="Q11" i="9"/>
  <c r="A12" i="9"/>
  <c r="O12" i="9"/>
  <c r="Q12" i="9"/>
  <c r="A13" i="9"/>
  <c r="O13" i="9"/>
  <c r="Q13" i="9"/>
  <c r="A14" i="9"/>
  <c r="O14" i="9"/>
  <c r="Q14" i="9"/>
  <c r="A15" i="9"/>
  <c r="O15" i="9"/>
  <c r="Q15" i="9"/>
  <c r="A16" i="9"/>
  <c r="O16" i="9"/>
  <c r="Q16" i="9"/>
  <c r="A17" i="9"/>
  <c r="O17" i="9"/>
  <c r="Q17" i="9"/>
  <c r="A18" i="9"/>
  <c r="O18" i="9"/>
  <c r="Q18" i="9"/>
  <c r="A19" i="9"/>
  <c r="O19" i="9"/>
  <c r="Q19" i="9"/>
  <c r="A20" i="9"/>
  <c r="O20" i="9"/>
  <c r="Q20" i="9"/>
  <c r="A21" i="9"/>
  <c r="O21" i="9"/>
  <c r="Q21" i="9"/>
  <c r="A22" i="9"/>
  <c r="O22" i="9"/>
  <c r="Q22" i="9"/>
  <c r="A23" i="9"/>
  <c r="O23" i="9"/>
  <c r="Q23" i="9"/>
  <c r="A24" i="9"/>
  <c r="A25" i="9"/>
  <c r="A26" i="9"/>
  <c r="A27" i="9"/>
  <c r="O27" i="9"/>
  <c r="U27" i="9" s="1"/>
  <c r="Q27" i="9"/>
  <c r="W27" i="9" s="1"/>
  <c r="E28" i="9"/>
  <c r="X28" i="9"/>
  <c r="A29" i="9"/>
  <c r="O29" i="9"/>
  <c r="Q29" i="9"/>
  <c r="X48" i="9"/>
  <c r="X47" i="9"/>
  <c r="X46" i="9"/>
  <c r="X45" i="9"/>
  <c r="X44" i="9"/>
  <c r="X43" i="9"/>
  <c r="X42" i="9"/>
  <c r="X41" i="9"/>
  <c r="X40" i="9"/>
  <c r="X39" i="9"/>
  <c r="X38" i="9"/>
  <c r="X37" i="9"/>
  <c r="X36" i="9"/>
  <c r="X35" i="9"/>
  <c r="X34" i="9"/>
  <c r="X33" i="9"/>
  <c r="X32" i="9"/>
  <c r="X31" i="9"/>
  <c r="X30" i="9"/>
  <c r="X29" i="9"/>
  <c r="A30" i="9"/>
  <c r="O30" i="9"/>
  <c r="Q30" i="9"/>
  <c r="A31" i="9"/>
  <c r="O31" i="9"/>
  <c r="Q31" i="9"/>
  <c r="A32" i="9"/>
  <c r="O32" i="9"/>
  <c r="Q32" i="9"/>
  <c r="A33" i="9"/>
  <c r="O33" i="9"/>
  <c r="Q33" i="9"/>
  <c r="A34" i="9"/>
  <c r="O34" i="9"/>
  <c r="Q34" i="9"/>
  <c r="A35" i="9"/>
  <c r="O35" i="9"/>
  <c r="Q35" i="9"/>
  <c r="A36" i="9"/>
  <c r="O36" i="9"/>
  <c r="Q36" i="9"/>
  <c r="A37" i="9"/>
  <c r="O37" i="9"/>
  <c r="Q37" i="9"/>
  <c r="A38" i="9"/>
  <c r="O38" i="9"/>
  <c r="Q38" i="9"/>
  <c r="A39" i="9"/>
  <c r="O39" i="9"/>
  <c r="Q39" i="9"/>
  <c r="A40" i="9"/>
  <c r="O40" i="9"/>
  <c r="Q40" i="9"/>
  <c r="A41" i="9"/>
  <c r="O41" i="9"/>
  <c r="Q41" i="9"/>
  <c r="A42" i="9"/>
  <c r="O42" i="9"/>
  <c r="Q42" i="9"/>
  <c r="A43" i="9"/>
  <c r="O43" i="9"/>
  <c r="Q43" i="9"/>
  <c r="A44" i="9"/>
  <c r="O44" i="9"/>
  <c r="Q44" i="9"/>
  <c r="A45" i="9"/>
  <c r="A46" i="9"/>
  <c r="A47" i="9"/>
  <c r="A48" i="9"/>
  <c r="O48" i="9"/>
  <c r="U48" i="9" s="1"/>
  <c r="Q48" i="9"/>
  <c r="W48" i="9" s="1"/>
  <c r="E49" i="9"/>
  <c r="X49" i="9"/>
  <c r="A50" i="9"/>
  <c r="O50" i="9"/>
  <c r="Q50" i="9"/>
  <c r="X69" i="9"/>
  <c r="X68" i="9"/>
  <c r="X67" i="9"/>
  <c r="X66" i="9"/>
  <c r="X65" i="9"/>
  <c r="X64" i="9"/>
  <c r="X63" i="9"/>
  <c r="X62" i="9"/>
  <c r="X61" i="9"/>
  <c r="X60" i="9"/>
  <c r="X59" i="9"/>
  <c r="X58" i="9"/>
  <c r="X57" i="9"/>
  <c r="X56" i="9"/>
  <c r="X55" i="9"/>
  <c r="X54" i="9"/>
  <c r="X53" i="9"/>
  <c r="T54" i="9" s="1"/>
  <c r="W54" i="9" s="1"/>
  <c r="X52" i="9"/>
  <c r="X51" i="9"/>
  <c r="X50" i="9"/>
  <c r="A51" i="9"/>
  <c r="O51" i="9"/>
  <c r="Q51" i="9"/>
  <c r="A52" i="9"/>
  <c r="O52" i="9"/>
  <c r="Q52" i="9"/>
  <c r="A53" i="9"/>
  <c r="O53" i="9"/>
  <c r="Q53" i="9"/>
  <c r="A54" i="9"/>
  <c r="O54" i="9"/>
  <c r="Q54" i="9"/>
  <c r="A55" i="9"/>
  <c r="O55" i="9"/>
  <c r="Q55" i="9"/>
  <c r="A56" i="9"/>
  <c r="O56" i="9"/>
  <c r="Q56" i="9"/>
  <c r="A57" i="9"/>
  <c r="O57" i="9"/>
  <c r="Q57" i="9"/>
  <c r="A58" i="9"/>
  <c r="O58" i="9"/>
  <c r="Q58" i="9"/>
  <c r="A59" i="9"/>
  <c r="O59" i="9"/>
  <c r="Q59" i="9"/>
  <c r="A60" i="9"/>
  <c r="O60" i="9"/>
  <c r="Q60" i="9"/>
  <c r="A61" i="9"/>
  <c r="O61" i="9"/>
  <c r="Q61" i="9"/>
  <c r="A62" i="9"/>
  <c r="O62" i="9"/>
  <c r="Q62" i="9"/>
  <c r="A63" i="9"/>
  <c r="O63" i="9"/>
  <c r="Q63" i="9"/>
  <c r="A64" i="9"/>
  <c r="O64" i="9"/>
  <c r="Q64" i="9"/>
  <c r="A65" i="9"/>
  <c r="O65" i="9"/>
  <c r="Q65" i="9"/>
  <c r="A66" i="9"/>
  <c r="A67" i="9"/>
  <c r="A68" i="9"/>
  <c r="A69" i="9"/>
  <c r="O69" i="9"/>
  <c r="U69" i="9" s="1"/>
  <c r="Q69" i="9"/>
  <c r="W69" i="9" s="1"/>
  <c r="E70" i="9"/>
  <c r="X70" i="9"/>
  <c r="A71" i="9"/>
  <c r="O71" i="9"/>
  <c r="Q71" i="9"/>
  <c r="X90" i="9"/>
  <c r="X89" i="9"/>
  <c r="X88" i="9"/>
  <c r="X87" i="9"/>
  <c r="X86" i="9"/>
  <c r="X85" i="9"/>
  <c r="X84" i="9"/>
  <c r="X83" i="9"/>
  <c r="X82" i="9"/>
  <c r="X81" i="9"/>
  <c r="X80" i="9"/>
  <c r="X79" i="9"/>
  <c r="X78" i="9"/>
  <c r="X77" i="9"/>
  <c r="X76" i="9"/>
  <c r="X75" i="9"/>
  <c r="X74" i="9"/>
  <c r="X73" i="9"/>
  <c r="X72" i="9"/>
  <c r="X71" i="9"/>
  <c r="A72" i="9"/>
  <c r="O72" i="9"/>
  <c r="Q72" i="9"/>
  <c r="A73" i="9"/>
  <c r="O73" i="9"/>
  <c r="Q73" i="9"/>
  <c r="A74" i="9"/>
  <c r="O74" i="9"/>
  <c r="Q74" i="9"/>
  <c r="A75" i="9"/>
  <c r="O75" i="9"/>
  <c r="Q75" i="9"/>
  <c r="A76" i="9"/>
  <c r="O76" i="9"/>
  <c r="Q76" i="9"/>
  <c r="A77" i="9"/>
  <c r="O77" i="9"/>
  <c r="Q77" i="9"/>
  <c r="A78" i="9"/>
  <c r="O78" i="9"/>
  <c r="Q78" i="9"/>
  <c r="A79" i="9"/>
  <c r="O79" i="9"/>
  <c r="Q79" i="9"/>
  <c r="A80" i="9"/>
  <c r="O80" i="9"/>
  <c r="Q80" i="9"/>
  <c r="A81" i="9"/>
  <c r="O81" i="9"/>
  <c r="Q81" i="9"/>
  <c r="A82" i="9"/>
  <c r="O82" i="9"/>
  <c r="Q82" i="9"/>
  <c r="A83" i="9"/>
  <c r="O83" i="9"/>
  <c r="Q83" i="9"/>
  <c r="A84" i="9"/>
  <c r="O84" i="9"/>
  <c r="Q84" i="9"/>
  <c r="A85" i="9"/>
  <c r="O85" i="9"/>
  <c r="Q85" i="9"/>
  <c r="A86" i="9"/>
  <c r="O86" i="9"/>
  <c r="Q86" i="9"/>
  <c r="A87" i="9"/>
  <c r="A88" i="9"/>
  <c r="A89" i="9"/>
  <c r="A90" i="9"/>
  <c r="O90" i="9"/>
  <c r="U90" i="9" s="1"/>
  <c r="Q90" i="9"/>
  <c r="W90" i="9" s="1"/>
  <c r="E91" i="9"/>
  <c r="X91" i="9"/>
  <c r="A92" i="9"/>
  <c r="O92" i="9"/>
  <c r="Q92" i="9"/>
  <c r="X111" i="9"/>
  <c r="X110" i="9"/>
  <c r="X109" i="9"/>
  <c r="X108" i="9"/>
  <c r="X107" i="9"/>
  <c r="X106" i="9"/>
  <c r="X105" i="9"/>
  <c r="X104" i="9"/>
  <c r="X103" i="9"/>
  <c r="X102" i="9"/>
  <c r="X101" i="9"/>
  <c r="X100" i="9"/>
  <c r="X99" i="9"/>
  <c r="X98" i="9"/>
  <c r="X97" i="9"/>
  <c r="X96" i="9"/>
  <c r="X95" i="9"/>
  <c r="X94" i="9"/>
  <c r="X93" i="9"/>
  <c r="X92" i="9"/>
  <c r="A93" i="9"/>
  <c r="O93" i="9"/>
  <c r="Q93" i="9"/>
  <c r="A94" i="9"/>
  <c r="O94" i="9"/>
  <c r="Q94" i="9"/>
  <c r="A95" i="9"/>
  <c r="O95" i="9"/>
  <c r="Q95" i="9"/>
  <c r="A96" i="9"/>
  <c r="O96" i="9"/>
  <c r="Q96" i="9"/>
  <c r="A97" i="9"/>
  <c r="O97" i="9"/>
  <c r="Q97" i="9"/>
  <c r="A98" i="9"/>
  <c r="O98" i="9"/>
  <c r="Q98" i="9"/>
  <c r="A99" i="9"/>
  <c r="O99" i="9"/>
  <c r="Q99" i="9"/>
  <c r="A100" i="9"/>
  <c r="O100" i="9"/>
  <c r="Q100" i="9"/>
  <c r="A101" i="9"/>
  <c r="O101" i="9"/>
  <c r="Q101" i="9"/>
  <c r="A102" i="9"/>
  <c r="O102" i="9"/>
  <c r="Q102" i="9"/>
  <c r="A103" i="9"/>
  <c r="O103" i="9"/>
  <c r="Q103" i="9"/>
  <c r="A104" i="9"/>
  <c r="O104" i="9"/>
  <c r="Q104" i="9"/>
  <c r="A105" i="9"/>
  <c r="O105" i="9"/>
  <c r="Q105" i="9"/>
  <c r="A106" i="9"/>
  <c r="O106" i="9"/>
  <c r="Q106" i="9"/>
  <c r="A107" i="9"/>
  <c r="O107" i="9"/>
  <c r="Q107" i="9"/>
  <c r="A108" i="9"/>
  <c r="A109" i="9"/>
  <c r="A110" i="9"/>
  <c r="A111" i="9"/>
  <c r="O111" i="9"/>
  <c r="U111" i="9" s="1"/>
  <c r="Q111" i="9"/>
  <c r="W111" i="9" s="1"/>
  <c r="E112" i="9"/>
  <c r="X112" i="9"/>
  <c r="A113" i="9"/>
  <c r="O113" i="9"/>
  <c r="Q113" i="9"/>
  <c r="X132" i="9"/>
  <c r="X131" i="9"/>
  <c r="X130" i="9"/>
  <c r="X129" i="9"/>
  <c r="X128" i="9"/>
  <c r="X127" i="9"/>
  <c r="X126" i="9"/>
  <c r="X125" i="9"/>
  <c r="X124" i="9"/>
  <c r="X123" i="9"/>
  <c r="X122" i="9"/>
  <c r="X121" i="9"/>
  <c r="X120" i="9"/>
  <c r="X119" i="9"/>
  <c r="X118" i="9"/>
  <c r="X117" i="9"/>
  <c r="X116" i="9"/>
  <c r="X115" i="9"/>
  <c r="X114" i="9"/>
  <c r="X113" i="9"/>
  <c r="A114" i="9"/>
  <c r="O114" i="9"/>
  <c r="Q114" i="9"/>
  <c r="A115" i="9"/>
  <c r="O115" i="9"/>
  <c r="Q115" i="9"/>
  <c r="A116" i="9"/>
  <c r="O116" i="9"/>
  <c r="Q116" i="9"/>
  <c r="A117" i="9"/>
  <c r="O117" i="9"/>
  <c r="Q117" i="9"/>
  <c r="A118" i="9"/>
  <c r="O118" i="9"/>
  <c r="Q118" i="9"/>
  <c r="A119" i="9"/>
  <c r="O119" i="9"/>
  <c r="Q119" i="9"/>
  <c r="A120" i="9"/>
  <c r="O120" i="9"/>
  <c r="Q120" i="9"/>
  <c r="A121" i="9"/>
  <c r="O121" i="9"/>
  <c r="Q121" i="9"/>
  <c r="A122" i="9"/>
  <c r="O122" i="9"/>
  <c r="Q122" i="9"/>
  <c r="A123" i="9"/>
  <c r="O123" i="9"/>
  <c r="Q123" i="9"/>
  <c r="A124" i="9"/>
  <c r="O124" i="9"/>
  <c r="Q124" i="9"/>
  <c r="A125" i="9"/>
  <c r="O125" i="9"/>
  <c r="Q125" i="9"/>
  <c r="A126" i="9"/>
  <c r="O126" i="9"/>
  <c r="Q126" i="9"/>
  <c r="A127" i="9"/>
  <c r="O127" i="9"/>
  <c r="Q127" i="9"/>
  <c r="A128" i="9"/>
  <c r="O128" i="9"/>
  <c r="Q128" i="9"/>
  <c r="A129" i="9"/>
  <c r="A130" i="9"/>
  <c r="A131" i="9"/>
  <c r="A132" i="9"/>
  <c r="O132" i="9"/>
  <c r="U132" i="9" s="1"/>
  <c r="Q132" i="9"/>
  <c r="W132" i="9" s="1"/>
  <c r="E133" i="9"/>
  <c r="X133" i="9"/>
  <c r="A134" i="9"/>
  <c r="O134" i="9"/>
  <c r="Q134" i="9"/>
  <c r="X153" i="9"/>
  <c r="X152" i="9"/>
  <c r="X151" i="9"/>
  <c r="X150" i="9"/>
  <c r="X149" i="9"/>
  <c r="X148" i="9"/>
  <c r="X147" i="9"/>
  <c r="X146" i="9"/>
  <c r="X145" i="9"/>
  <c r="X144" i="9"/>
  <c r="X143" i="9"/>
  <c r="X142" i="9"/>
  <c r="X141" i="9"/>
  <c r="X140" i="9"/>
  <c r="X139" i="9"/>
  <c r="X138" i="9"/>
  <c r="X137" i="9"/>
  <c r="X136" i="9"/>
  <c r="X135" i="9"/>
  <c r="X134" i="9"/>
  <c r="A135" i="9"/>
  <c r="O135" i="9"/>
  <c r="Q135" i="9"/>
  <c r="A136" i="9"/>
  <c r="O136" i="9"/>
  <c r="Q136" i="9"/>
  <c r="A137" i="9"/>
  <c r="O137" i="9"/>
  <c r="Q137" i="9"/>
  <c r="A138" i="9"/>
  <c r="O138" i="9"/>
  <c r="Q138" i="9"/>
  <c r="A139" i="9"/>
  <c r="O139" i="9"/>
  <c r="Q139" i="9"/>
  <c r="A140" i="9"/>
  <c r="O140" i="9"/>
  <c r="Q140" i="9"/>
  <c r="A141" i="9"/>
  <c r="O141" i="9"/>
  <c r="Q141" i="9"/>
  <c r="A142" i="9"/>
  <c r="O142" i="9"/>
  <c r="Q142" i="9"/>
  <c r="A143" i="9"/>
  <c r="O143" i="9"/>
  <c r="Q143" i="9"/>
  <c r="A144" i="9"/>
  <c r="O144" i="9"/>
  <c r="Q144" i="9"/>
  <c r="A145" i="9"/>
  <c r="O145" i="9"/>
  <c r="Q145" i="9"/>
  <c r="A146" i="9"/>
  <c r="O146" i="9"/>
  <c r="Q146" i="9"/>
  <c r="A147" i="9"/>
  <c r="O147" i="9"/>
  <c r="Q147" i="9"/>
  <c r="A148" i="9"/>
  <c r="O148" i="9"/>
  <c r="Q148" i="9"/>
  <c r="A149" i="9"/>
  <c r="O149" i="9"/>
  <c r="Q149" i="9"/>
  <c r="A150" i="9"/>
  <c r="A151" i="9"/>
  <c r="A152" i="9"/>
  <c r="A153" i="9"/>
  <c r="O153" i="9"/>
  <c r="U153" i="9" s="1"/>
  <c r="Q153" i="9"/>
  <c r="W153" i="9" s="1"/>
  <c r="E154" i="9"/>
  <c r="X154" i="9"/>
  <c r="A155" i="9"/>
  <c r="O155" i="9"/>
  <c r="Q155" i="9"/>
  <c r="X174" i="9"/>
  <c r="X173" i="9"/>
  <c r="X172" i="9"/>
  <c r="X171" i="9"/>
  <c r="X170" i="9"/>
  <c r="X169" i="9"/>
  <c r="X168" i="9"/>
  <c r="X167" i="9"/>
  <c r="X166" i="9"/>
  <c r="X165" i="9"/>
  <c r="X164" i="9"/>
  <c r="X163" i="9"/>
  <c r="X162" i="9"/>
  <c r="X161" i="9"/>
  <c r="X160" i="9"/>
  <c r="X159" i="9"/>
  <c r="X158" i="9"/>
  <c r="X157" i="9"/>
  <c r="X156" i="9"/>
  <c r="X155" i="9"/>
  <c r="A156" i="9"/>
  <c r="O156" i="9"/>
  <c r="Q156" i="9"/>
  <c r="A157" i="9"/>
  <c r="O157" i="9"/>
  <c r="Q157" i="9"/>
  <c r="A158" i="9"/>
  <c r="O158" i="9"/>
  <c r="Q158" i="9"/>
  <c r="A159" i="9"/>
  <c r="O159" i="9"/>
  <c r="Q159" i="9"/>
  <c r="A160" i="9"/>
  <c r="O160" i="9"/>
  <c r="Q160" i="9"/>
  <c r="A161" i="9"/>
  <c r="O161" i="9"/>
  <c r="Q161" i="9"/>
  <c r="A162" i="9"/>
  <c r="O162" i="9"/>
  <c r="Q162" i="9"/>
  <c r="A163" i="9"/>
  <c r="O163" i="9"/>
  <c r="Q163" i="9"/>
  <c r="A164" i="9"/>
  <c r="O164" i="9"/>
  <c r="Q164" i="9"/>
  <c r="A165" i="9"/>
  <c r="O165" i="9"/>
  <c r="Q165" i="9"/>
  <c r="A166" i="9"/>
  <c r="O166" i="9"/>
  <c r="Q166" i="9"/>
  <c r="A167" i="9"/>
  <c r="O167" i="9"/>
  <c r="Q167" i="9"/>
  <c r="A168" i="9"/>
  <c r="O168" i="9"/>
  <c r="Q168" i="9"/>
  <c r="A169" i="9"/>
  <c r="O169" i="9"/>
  <c r="Q169" i="9"/>
  <c r="A170" i="9"/>
  <c r="O170" i="9"/>
  <c r="Q170" i="9"/>
  <c r="A171" i="9"/>
  <c r="A172" i="9"/>
  <c r="A173" i="9"/>
  <c r="A174" i="9"/>
  <c r="O174" i="9"/>
  <c r="U174" i="9" s="1"/>
  <c r="Q174" i="9"/>
  <c r="W174" i="9" s="1"/>
  <c r="E175" i="9"/>
  <c r="X175" i="9"/>
  <c r="A176" i="9"/>
  <c r="O176" i="9"/>
  <c r="Q176" i="9"/>
  <c r="X195" i="9"/>
  <c r="X194" i="9"/>
  <c r="X193" i="9"/>
  <c r="X192" i="9"/>
  <c r="X191" i="9"/>
  <c r="X190" i="9"/>
  <c r="X189" i="9"/>
  <c r="X188" i="9"/>
  <c r="X187" i="9"/>
  <c r="X186" i="9"/>
  <c r="X185" i="9"/>
  <c r="X184" i="9"/>
  <c r="X183" i="9"/>
  <c r="X182" i="9"/>
  <c r="X181" i="9"/>
  <c r="X180" i="9"/>
  <c r="X179" i="9"/>
  <c r="X178" i="9"/>
  <c r="X177" i="9"/>
  <c r="X176" i="9"/>
  <c r="A177" i="9"/>
  <c r="O177" i="9"/>
  <c r="Q177" i="9"/>
  <c r="A178" i="9"/>
  <c r="O178" i="9"/>
  <c r="Q178" i="9"/>
  <c r="A179" i="9"/>
  <c r="O179" i="9"/>
  <c r="Q179" i="9"/>
  <c r="A180" i="9"/>
  <c r="O180" i="9"/>
  <c r="Q180" i="9"/>
  <c r="A181" i="9"/>
  <c r="O181" i="9"/>
  <c r="Q181" i="9"/>
  <c r="A182" i="9"/>
  <c r="O182" i="9"/>
  <c r="Q182" i="9"/>
  <c r="A183" i="9"/>
  <c r="O183" i="9"/>
  <c r="Q183" i="9"/>
  <c r="A184" i="9"/>
  <c r="O184" i="9"/>
  <c r="Q184" i="9"/>
  <c r="A185" i="9"/>
  <c r="O185" i="9"/>
  <c r="Q185" i="9"/>
  <c r="A186" i="9"/>
  <c r="O186" i="9"/>
  <c r="Q186" i="9"/>
  <c r="A187" i="9"/>
  <c r="O187" i="9"/>
  <c r="Q187" i="9"/>
  <c r="A188" i="9"/>
  <c r="O188" i="9"/>
  <c r="Q188" i="9"/>
  <c r="A189" i="9"/>
  <c r="O189" i="9"/>
  <c r="Q189" i="9"/>
  <c r="A190" i="9"/>
  <c r="O190" i="9"/>
  <c r="Q190" i="9"/>
  <c r="A191" i="9"/>
  <c r="O191" i="9"/>
  <c r="Q191" i="9"/>
  <c r="A192" i="9"/>
  <c r="A193" i="9"/>
  <c r="A194" i="9"/>
  <c r="A195" i="9"/>
  <c r="O195" i="9"/>
  <c r="U195" i="9" s="1"/>
  <c r="Q195" i="9"/>
  <c r="W195" i="9" s="1"/>
  <c r="E196" i="9"/>
  <c r="X196" i="9"/>
  <c r="A197" i="9"/>
  <c r="O197" i="9"/>
  <c r="Q197" i="9"/>
  <c r="X216" i="9"/>
  <c r="X215" i="9"/>
  <c r="X214" i="9"/>
  <c r="X213" i="9"/>
  <c r="X212" i="9"/>
  <c r="X211" i="9"/>
  <c r="X210" i="9"/>
  <c r="X209" i="9"/>
  <c r="X208" i="9"/>
  <c r="X207" i="9"/>
  <c r="X206" i="9"/>
  <c r="X205" i="9"/>
  <c r="X204" i="9"/>
  <c r="X203" i="9"/>
  <c r="X202" i="9"/>
  <c r="X201" i="9"/>
  <c r="X200" i="9"/>
  <c r="X199" i="9"/>
  <c r="X198" i="9"/>
  <c r="X197" i="9"/>
  <c r="A198" i="9"/>
  <c r="O198" i="9"/>
  <c r="Q198" i="9"/>
  <c r="A199" i="9"/>
  <c r="O199" i="9"/>
  <c r="Q199" i="9"/>
  <c r="A200" i="9"/>
  <c r="O200" i="9"/>
  <c r="Q200" i="9"/>
  <c r="A201" i="9"/>
  <c r="O201" i="9"/>
  <c r="Q201" i="9"/>
  <c r="A202" i="9"/>
  <c r="O202" i="9"/>
  <c r="Q202" i="9"/>
  <c r="A203" i="9"/>
  <c r="O203" i="9"/>
  <c r="Q203" i="9"/>
  <c r="A204" i="9"/>
  <c r="O204" i="9"/>
  <c r="Q204" i="9"/>
  <c r="A205" i="9"/>
  <c r="O205" i="9"/>
  <c r="Q205" i="9"/>
  <c r="A206" i="9"/>
  <c r="O206" i="9"/>
  <c r="Q206" i="9"/>
  <c r="A207" i="9"/>
  <c r="O207" i="9"/>
  <c r="Q207" i="9"/>
  <c r="A208" i="9"/>
  <c r="O208" i="9"/>
  <c r="Q208" i="9"/>
  <c r="A209" i="9"/>
  <c r="O209" i="9"/>
  <c r="Q209" i="9"/>
  <c r="A210" i="9"/>
  <c r="O210" i="9"/>
  <c r="Q210" i="9"/>
  <c r="A211" i="9"/>
  <c r="O211" i="9"/>
  <c r="Q211" i="9"/>
  <c r="A212" i="9"/>
  <c r="O212" i="9"/>
  <c r="Q212" i="9"/>
  <c r="A213" i="9"/>
  <c r="A214" i="9"/>
  <c r="A215" i="9"/>
  <c r="A216" i="9"/>
  <c r="O216" i="9"/>
  <c r="U216" i="9" s="1"/>
  <c r="Q216" i="9"/>
  <c r="W216" i="9" s="1"/>
  <c r="E217" i="9"/>
  <c r="X217" i="9"/>
  <c r="A218" i="9"/>
  <c r="O218" i="9"/>
  <c r="Q218" i="9"/>
  <c r="X237" i="9"/>
  <c r="X236" i="9"/>
  <c r="X235" i="9"/>
  <c r="X234" i="9"/>
  <c r="X233" i="9"/>
  <c r="X232" i="9"/>
  <c r="X231" i="9"/>
  <c r="X230" i="9"/>
  <c r="X229" i="9"/>
  <c r="X228" i="9"/>
  <c r="X227" i="9"/>
  <c r="X226" i="9"/>
  <c r="X225" i="9"/>
  <c r="X224" i="9"/>
  <c r="X223" i="9"/>
  <c r="X222" i="9"/>
  <c r="X221" i="9"/>
  <c r="X220" i="9"/>
  <c r="X219" i="9"/>
  <c r="X218" i="9"/>
  <c r="A219" i="9"/>
  <c r="O219" i="9"/>
  <c r="Q219" i="9"/>
  <c r="A220" i="9"/>
  <c r="O220" i="9"/>
  <c r="Q220" i="9"/>
  <c r="A221" i="9"/>
  <c r="O221" i="9"/>
  <c r="Q221" i="9"/>
  <c r="A222" i="9"/>
  <c r="O222" i="9"/>
  <c r="Q222" i="9"/>
  <c r="A223" i="9"/>
  <c r="O223" i="9"/>
  <c r="Q223" i="9"/>
  <c r="A224" i="9"/>
  <c r="O224" i="9"/>
  <c r="Q224" i="9"/>
  <c r="A225" i="9"/>
  <c r="O225" i="9"/>
  <c r="Q225" i="9"/>
  <c r="A226" i="9"/>
  <c r="O226" i="9"/>
  <c r="Q226" i="9"/>
  <c r="A227" i="9"/>
  <c r="O227" i="9"/>
  <c r="Q227" i="9"/>
  <c r="A228" i="9"/>
  <c r="O228" i="9"/>
  <c r="Q228" i="9"/>
  <c r="A229" i="9"/>
  <c r="O229" i="9"/>
  <c r="Q229" i="9"/>
  <c r="A230" i="9"/>
  <c r="O230" i="9"/>
  <c r="Q230" i="9"/>
  <c r="A231" i="9"/>
  <c r="O231" i="9"/>
  <c r="Q231" i="9"/>
  <c r="A232" i="9"/>
  <c r="O232" i="9"/>
  <c r="Q232" i="9"/>
  <c r="A233" i="9"/>
  <c r="O233" i="9"/>
  <c r="Q233" i="9"/>
  <c r="A234" i="9"/>
  <c r="A235" i="9"/>
  <c r="A236" i="9"/>
  <c r="A237" i="9"/>
  <c r="O237" i="9"/>
  <c r="U237" i="9" s="1"/>
  <c r="Q237" i="9"/>
  <c r="W237" i="9" s="1"/>
  <c r="E238" i="9"/>
  <c r="X238" i="9"/>
  <c r="A239" i="9"/>
  <c r="O239" i="9"/>
  <c r="Q239" i="9"/>
  <c r="X258" i="9"/>
  <c r="X257" i="9"/>
  <c r="X256" i="9"/>
  <c r="X255" i="9"/>
  <c r="X254" i="9"/>
  <c r="X253" i="9"/>
  <c r="X252" i="9"/>
  <c r="X251" i="9"/>
  <c r="X250" i="9"/>
  <c r="X249" i="9"/>
  <c r="X248" i="9"/>
  <c r="X247" i="9"/>
  <c r="X246" i="9"/>
  <c r="X245" i="9"/>
  <c r="X244" i="9"/>
  <c r="X243" i="9"/>
  <c r="X242" i="9"/>
  <c r="X241" i="9"/>
  <c r="X240" i="9"/>
  <c r="X239" i="9"/>
  <c r="A240" i="9"/>
  <c r="O240" i="9"/>
  <c r="Q240" i="9"/>
  <c r="A241" i="9"/>
  <c r="O241" i="9"/>
  <c r="Q241" i="9"/>
  <c r="A242" i="9"/>
  <c r="O242" i="9"/>
  <c r="Q242" i="9"/>
  <c r="A243" i="9"/>
  <c r="O243" i="9"/>
  <c r="Q243" i="9"/>
  <c r="A244" i="9"/>
  <c r="O244" i="9"/>
  <c r="Q244" i="9"/>
  <c r="A245" i="9"/>
  <c r="O245" i="9"/>
  <c r="Q245" i="9"/>
  <c r="A246" i="9"/>
  <c r="O246" i="9"/>
  <c r="Q246" i="9"/>
  <c r="A247" i="9"/>
  <c r="O247" i="9"/>
  <c r="Q247" i="9"/>
  <c r="A248" i="9"/>
  <c r="O248" i="9"/>
  <c r="Q248" i="9"/>
  <c r="A249" i="9"/>
  <c r="O249" i="9"/>
  <c r="Q249" i="9"/>
  <c r="A250" i="9"/>
  <c r="O250" i="9"/>
  <c r="Q250" i="9"/>
  <c r="A251" i="9"/>
  <c r="O251" i="9"/>
  <c r="Q251" i="9"/>
  <c r="A252" i="9"/>
  <c r="O252" i="9"/>
  <c r="Q252" i="9"/>
  <c r="A253" i="9"/>
  <c r="O253" i="9"/>
  <c r="Q253" i="9"/>
  <c r="A254" i="9"/>
  <c r="O254" i="9"/>
  <c r="Q254" i="9"/>
  <c r="A255" i="9"/>
  <c r="A256" i="9"/>
  <c r="A257" i="9"/>
  <c r="A258" i="9"/>
  <c r="O258" i="9"/>
  <c r="U258" i="9" s="1"/>
  <c r="Q258" i="9"/>
  <c r="W258" i="9" s="1"/>
  <c r="E259" i="9"/>
  <c r="X259" i="9"/>
  <c r="A260" i="9"/>
  <c r="O260" i="9"/>
  <c r="Q260" i="9"/>
  <c r="X279" i="9"/>
  <c r="X278" i="9"/>
  <c r="X277" i="9"/>
  <c r="X276" i="9"/>
  <c r="X275" i="9"/>
  <c r="X274" i="9"/>
  <c r="X273" i="9"/>
  <c r="X272" i="9"/>
  <c r="X271" i="9"/>
  <c r="X270" i="9"/>
  <c r="X269" i="9"/>
  <c r="X268" i="9"/>
  <c r="X267" i="9"/>
  <c r="X266" i="9"/>
  <c r="X265" i="9"/>
  <c r="X264" i="9"/>
  <c r="X263" i="9"/>
  <c r="X262" i="9"/>
  <c r="X261" i="9"/>
  <c r="X260" i="9"/>
  <c r="A261" i="9"/>
  <c r="O261" i="9"/>
  <c r="Q261" i="9"/>
  <c r="A262" i="9"/>
  <c r="O262" i="9"/>
  <c r="Q262" i="9"/>
  <c r="A263" i="9"/>
  <c r="O263" i="9"/>
  <c r="Q263" i="9"/>
  <c r="A264" i="9"/>
  <c r="O264" i="9"/>
  <c r="Q264" i="9"/>
  <c r="A265" i="9"/>
  <c r="O265" i="9"/>
  <c r="Q265" i="9"/>
  <c r="A266" i="9"/>
  <c r="O266" i="9"/>
  <c r="Q266" i="9"/>
  <c r="A267" i="9"/>
  <c r="O267" i="9"/>
  <c r="Q267" i="9"/>
  <c r="A268" i="9"/>
  <c r="O268" i="9"/>
  <c r="Q268" i="9"/>
  <c r="A269" i="9"/>
  <c r="O269" i="9"/>
  <c r="Q269" i="9"/>
  <c r="A270" i="9"/>
  <c r="O270" i="9"/>
  <c r="Q270" i="9"/>
  <c r="A271" i="9"/>
  <c r="O271" i="9"/>
  <c r="Q271" i="9"/>
  <c r="A272" i="9"/>
  <c r="O272" i="9"/>
  <c r="Q272" i="9"/>
  <c r="A273" i="9"/>
  <c r="O273" i="9"/>
  <c r="Q273" i="9"/>
  <c r="A274" i="9"/>
  <c r="O274" i="9"/>
  <c r="Q274" i="9"/>
  <c r="A275" i="9"/>
  <c r="O275" i="9"/>
  <c r="Q275" i="9"/>
  <c r="A276" i="9"/>
  <c r="A277" i="9"/>
  <c r="A278" i="9"/>
  <c r="A279" i="9"/>
  <c r="O279" i="9"/>
  <c r="U279" i="9" s="1"/>
  <c r="Q279" i="9"/>
  <c r="W279" i="9" s="1"/>
  <c r="E280" i="9"/>
  <c r="X280" i="9"/>
  <c r="A281" i="9"/>
  <c r="O281" i="9"/>
  <c r="Q281" i="9"/>
  <c r="X300" i="9"/>
  <c r="X299" i="9"/>
  <c r="X298" i="9"/>
  <c r="X297" i="9"/>
  <c r="X296" i="9"/>
  <c r="X295" i="9"/>
  <c r="X294" i="9"/>
  <c r="X293" i="9"/>
  <c r="X292" i="9"/>
  <c r="X291" i="9"/>
  <c r="X290" i="9"/>
  <c r="X289" i="9"/>
  <c r="X288" i="9"/>
  <c r="X287" i="9"/>
  <c r="X286" i="9"/>
  <c r="X285" i="9"/>
  <c r="X284" i="9"/>
  <c r="X283" i="9"/>
  <c r="X282" i="9"/>
  <c r="X281" i="9"/>
  <c r="A282" i="9"/>
  <c r="O282" i="9"/>
  <c r="Q282" i="9"/>
  <c r="A283" i="9"/>
  <c r="O283" i="9"/>
  <c r="Q283" i="9"/>
  <c r="A284" i="9"/>
  <c r="O284" i="9"/>
  <c r="Q284" i="9"/>
  <c r="A285" i="9"/>
  <c r="O285" i="9"/>
  <c r="Q285" i="9"/>
  <c r="A286" i="9"/>
  <c r="O286" i="9"/>
  <c r="Q286" i="9"/>
  <c r="A287" i="9"/>
  <c r="O287" i="9"/>
  <c r="Q287" i="9"/>
  <c r="A288" i="9"/>
  <c r="O288" i="9"/>
  <c r="Q288" i="9"/>
  <c r="A289" i="9"/>
  <c r="O289" i="9"/>
  <c r="Q289" i="9"/>
  <c r="A290" i="9"/>
  <c r="O290" i="9"/>
  <c r="Q290" i="9"/>
  <c r="A291" i="9"/>
  <c r="O291" i="9"/>
  <c r="Q291" i="9"/>
  <c r="A292" i="9"/>
  <c r="O292" i="9"/>
  <c r="Q292" i="9"/>
  <c r="A293" i="9"/>
  <c r="O293" i="9"/>
  <c r="Q293" i="9"/>
  <c r="A294" i="9"/>
  <c r="O294" i="9"/>
  <c r="Q294" i="9"/>
  <c r="A295" i="9"/>
  <c r="O295" i="9"/>
  <c r="Q295" i="9"/>
  <c r="A296" i="9"/>
  <c r="O296" i="9"/>
  <c r="Q296" i="9"/>
  <c r="A297" i="9"/>
  <c r="A298" i="9"/>
  <c r="A299" i="9"/>
  <c r="A300" i="9"/>
  <c r="O300" i="9"/>
  <c r="U300" i="9" s="1"/>
  <c r="Q300" i="9"/>
  <c r="W300" i="9" s="1"/>
  <c r="E301" i="9"/>
  <c r="X301" i="9"/>
  <c r="A302" i="9"/>
  <c r="O302" i="9"/>
  <c r="Q302" i="9"/>
  <c r="X321" i="9"/>
  <c r="X320" i="9"/>
  <c r="X319" i="9"/>
  <c r="X318" i="9"/>
  <c r="X317" i="9"/>
  <c r="X316" i="9"/>
  <c r="X315" i="9"/>
  <c r="X314" i="9"/>
  <c r="X313" i="9"/>
  <c r="X312" i="9"/>
  <c r="X311" i="9"/>
  <c r="X310" i="9"/>
  <c r="X309" i="9"/>
  <c r="X308" i="9"/>
  <c r="X307" i="9"/>
  <c r="X306" i="9"/>
  <c r="X305" i="9"/>
  <c r="X304" i="9"/>
  <c r="X303" i="9"/>
  <c r="X302" i="9"/>
  <c r="A303" i="9"/>
  <c r="O303" i="9"/>
  <c r="Q303" i="9"/>
  <c r="A304" i="9"/>
  <c r="O304" i="9"/>
  <c r="Q304" i="9"/>
  <c r="A305" i="9"/>
  <c r="O305" i="9"/>
  <c r="Q305" i="9"/>
  <c r="A306" i="9"/>
  <c r="O306" i="9"/>
  <c r="Q306" i="9"/>
  <c r="A307" i="9"/>
  <c r="O307" i="9"/>
  <c r="Q307" i="9"/>
  <c r="A308" i="9"/>
  <c r="O308" i="9"/>
  <c r="Q308" i="9"/>
  <c r="A309" i="9"/>
  <c r="O309" i="9"/>
  <c r="Q309" i="9"/>
  <c r="A310" i="9"/>
  <c r="O310" i="9"/>
  <c r="Q310" i="9"/>
  <c r="A311" i="9"/>
  <c r="O311" i="9"/>
  <c r="Q311" i="9"/>
  <c r="A312" i="9"/>
  <c r="O312" i="9"/>
  <c r="Q312" i="9"/>
  <c r="A313" i="9"/>
  <c r="O313" i="9"/>
  <c r="Q313" i="9"/>
  <c r="A314" i="9"/>
  <c r="O314" i="9"/>
  <c r="Q314" i="9"/>
  <c r="A315" i="9"/>
  <c r="O315" i="9"/>
  <c r="Q315" i="9"/>
  <c r="A316" i="9"/>
  <c r="O316" i="9"/>
  <c r="Q316" i="9"/>
  <c r="A317" i="9"/>
  <c r="O317" i="9"/>
  <c r="Q317" i="9"/>
  <c r="A318" i="9"/>
  <c r="A319" i="9"/>
  <c r="A320" i="9"/>
  <c r="A321" i="9"/>
  <c r="O321" i="9"/>
  <c r="U321" i="9" s="1"/>
  <c r="Q321" i="9"/>
  <c r="W321" i="9" s="1"/>
  <c r="E322" i="9"/>
  <c r="X322" i="9"/>
  <c r="A323" i="9"/>
  <c r="O323" i="9"/>
  <c r="Q323" i="9"/>
  <c r="X342" i="9"/>
  <c r="X341" i="9"/>
  <c r="X340" i="9"/>
  <c r="X339" i="9"/>
  <c r="X338" i="9"/>
  <c r="X337" i="9"/>
  <c r="X336" i="9"/>
  <c r="X335" i="9"/>
  <c r="X334" i="9"/>
  <c r="X333" i="9"/>
  <c r="X332" i="9"/>
  <c r="X331" i="9"/>
  <c r="X330" i="9"/>
  <c r="X329" i="9"/>
  <c r="X328" i="9"/>
  <c r="X327" i="9"/>
  <c r="X326" i="9"/>
  <c r="X325" i="9"/>
  <c r="X324" i="9"/>
  <c r="X323" i="9"/>
  <c r="A324" i="9"/>
  <c r="O324" i="9"/>
  <c r="Q324" i="9"/>
  <c r="A325" i="9"/>
  <c r="O325" i="9"/>
  <c r="Q325" i="9"/>
  <c r="A326" i="9"/>
  <c r="O326" i="9"/>
  <c r="Q326" i="9"/>
  <c r="A327" i="9"/>
  <c r="O327" i="9"/>
  <c r="Q327" i="9"/>
  <c r="A328" i="9"/>
  <c r="O328" i="9"/>
  <c r="Q328" i="9"/>
  <c r="A329" i="9"/>
  <c r="O329" i="9"/>
  <c r="Q329" i="9"/>
  <c r="A330" i="9"/>
  <c r="O330" i="9"/>
  <c r="Q330" i="9"/>
  <c r="A331" i="9"/>
  <c r="O331" i="9"/>
  <c r="Q331" i="9"/>
  <c r="A332" i="9"/>
  <c r="O332" i="9"/>
  <c r="Q332" i="9"/>
  <c r="A333" i="9"/>
  <c r="O333" i="9"/>
  <c r="Q333" i="9"/>
  <c r="A334" i="9"/>
  <c r="O334" i="9"/>
  <c r="Q334" i="9"/>
  <c r="A335" i="9"/>
  <c r="O335" i="9"/>
  <c r="Q335" i="9"/>
  <c r="A336" i="9"/>
  <c r="O336" i="9"/>
  <c r="Q336" i="9"/>
  <c r="A337" i="9"/>
  <c r="O337" i="9"/>
  <c r="Q337" i="9"/>
  <c r="A338" i="9"/>
  <c r="O338" i="9"/>
  <c r="Q338" i="9"/>
  <c r="A339" i="9"/>
  <c r="A340" i="9"/>
  <c r="A341" i="9"/>
  <c r="A342" i="9"/>
  <c r="O342" i="9"/>
  <c r="U342" i="9" s="1"/>
  <c r="Q342" i="9"/>
  <c r="W342" i="9" s="1"/>
  <c r="E343" i="9"/>
  <c r="X343" i="9"/>
  <c r="A344" i="9"/>
  <c r="O344" i="9"/>
  <c r="Q344" i="9"/>
  <c r="X363" i="9"/>
  <c r="X362" i="9"/>
  <c r="X361" i="9"/>
  <c r="X360" i="9"/>
  <c r="X359" i="9"/>
  <c r="X358" i="9"/>
  <c r="X357" i="9"/>
  <c r="X356" i="9"/>
  <c r="X355" i="9"/>
  <c r="X354" i="9"/>
  <c r="X353" i="9"/>
  <c r="X352" i="9"/>
  <c r="X351" i="9"/>
  <c r="X350" i="9"/>
  <c r="X349" i="9"/>
  <c r="X348" i="9"/>
  <c r="X347" i="9"/>
  <c r="X346" i="9"/>
  <c r="X345" i="9"/>
  <c r="X344" i="9"/>
  <c r="A345" i="9"/>
  <c r="O345" i="9"/>
  <c r="Q345" i="9"/>
  <c r="A346" i="9"/>
  <c r="O346" i="9"/>
  <c r="Q346" i="9"/>
  <c r="A347" i="9"/>
  <c r="O347" i="9"/>
  <c r="Q347" i="9"/>
  <c r="A348" i="9"/>
  <c r="O348" i="9"/>
  <c r="Q348" i="9"/>
  <c r="A349" i="9"/>
  <c r="O349" i="9"/>
  <c r="Q349" i="9"/>
  <c r="A350" i="9"/>
  <c r="O350" i="9"/>
  <c r="Q350" i="9"/>
  <c r="A351" i="9"/>
  <c r="O351" i="9"/>
  <c r="Q351" i="9"/>
  <c r="A352" i="9"/>
  <c r="O352" i="9"/>
  <c r="Q352" i="9"/>
  <c r="A353" i="9"/>
  <c r="O353" i="9"/>
  <c r="Q353" i="9"/>
  <c r="A354" i="9"/>
  <c r="O354" i="9"/>
  <c r="Q354" i="9"/>
  <c r="A355" i="9"/>
  <c r="O355" i="9"/>
  <c r="Q355" i="9"/>
  <c r="A356" i="9"/>
  <c r="O356" i="9"/>
  <c r="Q356" i="9"/>
  <c r="A357" i="9"/>
  <c r="O357" i="9"/>
  <c r="Q357" i="9"/>
  <c r="A358" i="9"/>
  <c r="O358" i="9"/>
  <c r="Q358" i="9"/>
  <c r="A359" i="9"/>
  <c r="O359" i="9"/>
  <c r="Q359" i="9"/>
  <c r="A360" i="9"/>
  <c r="A361" i="9"/>
  <c r="A362" i="9"/>
  <c r="A363" i="9"/>
  <c r="O363" i="9"/>
  <c r="U363" i="9" s="1"/>
  <c r="Q363" i="9"/>
  <c r="W363" i="9" s="1"/>
  <c r="E364" i="9"/>
  <c r="X364" i="9"/>
  <c r="A365" i="9"/>
  <c r="O365" i="9"/>
  <c r="Q365" i="9"/>
  <c r="X384" i="9"/>
  <c r="X383" i="9"/>
  <c r="X382" i="9"/>
  <c r="X381" i="9"/>
  <c r="X380" i="9"/>
  <c r="X379" i="9"/>
  <c r="X378" i="9"/>
  <c r="X377" i="9"/>
  <c r="X376" i="9"/>
  <c r="X375" i="9"/>
  <c r="X374" i="9"/>
  <c r="X373" i="9"/>
  <c r="X372" i="9"/>
  <c r="X371" i="9"/>
  <c r="X370" i="9"/>
  <c r="X369" i="9"/>
  <c r="X368" i="9"/>
  <c r="X367" i="9"/>
  <c r="X366" i="9"/>
  <c r="X365" i="9"/>
  <c r="A366" i="9"/>
  <c r="O366" i="9"/>
  <c r="Q366" i="9"/>
  <c r="A367" i="9"/>
  <c r="O367" i="9"/>
  <c r="Q367" i="9"/>
  <c r="A368" i="9"/>
  <c r="O368" i="9"/>
  <c r="Q368" i="9"/>
  <c r="A369" i="9"/>
  <c r="O369" i="9"/>
  <c r="Q369" i="9"/>
  <c r="A370" i="9"/>
  <c r="O370" i="9"/>
  <c r="Q370" i="9"/>
  <c r="A371" i="9"/>
  <c r="O371" i="9"/>
  <c r="Q371" i="9"/>
  <c r="A372" i="9"/>
  <c r="O372" i="9"/>
  <c r="Q372" i="9"/>
  <c r="A373" i="9"/>
  <c r="O373" i="9"/>
  <c r="Q373" i="9"/>
  <c r="A374" i="9"/>
  <c r="O374" i="9"/>
  <c r="Q374" i="9"/>
  <c r="A375" i="9"/>
  <c r="O375" i="9"/>
  <c r="Q375" i="9"/>
  <c r="A376" i="9"/>
  <c r="O376" i="9"/>
  <c r="Q376" i="9"/>
  <c r="A377" i="9"/>
  <c r="O377" i="9"/>
  <c r="Q377" i="9"/>
  <c r="A378" i="9"/>
  <c r="O378" i="9"/>
  <c r="Q378" i="9"/>
  <c r="A379" i="9"/>
  <c r="O379" i="9"/>
  <c r="Q379" i="9"/>
  <c r="A380" i="9"/>
  <c r="O380" i="9"/>
  <c r="Q380" i="9"/>
  <c r="A381" i="9"/>
  <c r="A382" i="9"/>
  <c r="A383" i="9"/>
  <c r="A384" i="9"/>
  <c r="O384" i="9"/>
  <c r="U384" i="9" s="1"/>
  <c r="Q384" i="9"/>
  <c r="W384" i="9" s="1"/>
  <c r="E385" i="9"/>
  <c r="X385" i="9"/>
  <c r="A386" i="9"/>
  <c r="O386" i="9"/>
  <c r="Q386" i="9"/>
  <c r="X405" i="9"/>
  <c r="X404" i="9"/>
  <c r="X403" i="9"/>
  <c r="X402" i="9"/>
  <c r="X401" i="9"/>
  <c r="X400" i="9"/>
  <c r="X399" i="9"/>
  <c r="X398" i="9"/>
  <c r="X397" i="9"/>
  <c r="X396" i="9"/>
  <c r="X395" i="9"/>
  <c r="X394" i="9"/>
  <c r="X393" i="9"/>
  <c r="X392" i="9"/>
  <c r="X391" i="9"/>
  <c r="X390" i="9"/>
  <c r="X389" i="9"/>
  <c r="X388" i="9"/>
  <c r="X387" i="9"/>
  <c r="X386" i="9"/>
  <c r="A387" i="9"/>
  <c r="O387" i="9"/>
  <c r="Q387" i="9"/>
  <c r="A388" i="9"/>
  <c r="O388" i="9"/>
  <c r="Q388" i="9"/>
  <c r="A389" i="9"/>
  <c r="O389" i="9"/>
  <c r="Q389" i="9"/>
  <c r="A390" i="9"/>
  <c r="O390" i="9"/>
  <c r="Q390" i="9"/>
  <c r="A391" i="9"/>
  <c r="O391" i="9"/>
  <c r="Q391" i="9"/>
  <c r="A392" i="9"/>
  <c r="O392" i="9"/>
  <c r="Q392" i="9"/>
  <c r="A393" i="9"/>
  <c r="O393" i="9"/>
  <c r="Q393" i="9"/>
  <c r="A394" i="9"/>
  <c r="O394" i="9"/>
  <c r="Q394" i="9"/>
  <c r="A395" i="9"/>
  <c r="O395" i="9"/>
  <c r="Q395" i="9"/>
  <c r="A396" i="9"/>
  <c r="O396" i="9"/>
  <c r="Q396" i="9"/>
  <c r="A397" i="9"/>
  <c r="O397" i="9"/>
  <c r="Q397" i="9"/>
  <c r="A398" i="9"/>
  <c r="O398" i="9"/>
  <c r="Q398" i="9"/>
  <c r="A399" i="9"/>
  <c r="O399" i="9"/>
  <c r="Q399" i="9"/>
  <c r="A400" i="9"/>
  <c r="O400" i="9"/>
  <c r="Q400" i="9"/>
  <c r="A401" i="9"/>
  <c r="O401" i="9"/>
  <c r="Q401" i="9"/>
  <c r="A402" i="9"/>
  <c r="A403" i="9"/>
  <c r="A404" i="9"/>
  <c r="A405" i="9"/>
  <c r="O405" i="9"/>
  <c r="U405" i="9" s="1"/>
  <c r="Q405" i="9"/>
  <c r="W405" i="9" s="1"/>
  <c r="E406" i="9"/>
  <c r="X406" i="9"/>
  <c r="A407" i="9"/>
  <c r="O407" i="9"/>
  <c r="Q407" i="9"/>
  <c r="X426" i="9"/>
  <c r="X425" i="9"/>
  <c r="X424" i="9"/>
  <c r="X423" i="9"/>
  <c r="X422" i="9"/>
  <c r="X421" i="9"/>
  <c r="X420" i="9"/>
  <c r="X419" i="9"/>
  <c r="X418" i="9"/>
  <c r="X417" i="9"/>
  <c r="X416" i="9"/>
  <c r="X415" i="9"/>
  <c r="X414" i="9"/>
  <c r="X413" i="9"/>
  <c r="X412" i="9"/>
  <c r="X411" i="9"/>
  <c r="X410" i="9"/>
  <c r="X409" i="9"/>
  <c r="X408" i="9"/>
  <c r="X407" i="9"/>
  <c r="A408" i="9"/>
  <c r="O408" i="9"/>
  <c r="Q408" i="9"/>
  <c r="A409" i="9"/>
  <c r="O409" i="9"/>
  <c r="Q409" i="9"/>
  <c r="A410" i="9"/>
  <c r="O410" i="9"/>
  <c r="Q410" i="9"/>
  <c r="A411" i="9"/>
  <c r="O411" i="9"/>
  <c r="Q411" i="9"/>
  <c r="A412" i="9"/>
  <c r="O412" i="9"/>
  <c r="Q412" i="9"/>
  <c r="A413" i="9"/>
  <c r="O413" i="9"/>
  <c r="Q413" i="9"/>
  <c r="A414" i="9"/>
  <c r="O414" i="9"/>
  <c r="Q414" i="9"/>
  <c r="A415" i="9"/>
  <c r="O415" i="9"/>
  <c r="Q415" i="9"/>
  <c r="A416" i="9"/>
  <c r="O416" i="9"/>
  <c r="Q416" i="9"/>
  <c r="A417" i="9"/>
  <c r="O417" i="9"/>
  <c r="Q417" i="9"/>
  <c r="A418" i="9"/>
  <c r="O418" i="9"/>
  <c r="Q418" i="9"/>
  <c r="A419" i="9"/>
  <c r="O419" i="9"/>
  <c r="Q419" i="9"/>
  <c r="A420" i="9"/>
  <c r="O420" i="9"/>
  <c r="Q420" i="9"/>
  <c r="A421" i="9"/>
  <c r="O421" i="9"/>
  <c r="Q421" i="9"/>
  <c r="A422" i="9"/>
  <c r="O422" i="9"/>
  <c r="Q422" i="9"/>
  <c r="A423" i="9"/>
  <c r="A424" i="9"/>
  <c r="A425" i="9"/>
  <c r="A426" i="9"/>
  <c r="O426" i="9"/>
  <c r="U426" i="9" s="1"/>
  <c r="Q426" i="9"/>
  <c r="W426" i="9" s="1"/>
  <c r="E427" i="9"/>
  <c r="X427" i="9"/>
  <c r="A8" i="8"/>
  <c r="O8" i="8"/>
  <c r="Q8" i="8"/>
  <c r="X27" i="8"/>
  <c r="X26" i="8"/>
  <c r="X25" i="8"/>
  <c r="X24" i="8"/>
  <c r="X23" i="8"/>
  <c r="X22" i="8"/>
  <c r="X21" i="8"/>
  <c r="X20" i="8"/>
  <c r="X19" i="8"/>
  <c r="X18" i="8"/>
  <c r="X17" i="8"/>
  <c r="X16" i="8"/>
  <c r="X15" i="8"/>
  <c r="X14" i="8"/>
  <c r="X13" i="8"/>
  <c r="X12" i="8"/>
  <c r="X11" i="8"/>
  <c r="X10" i="8"/>
  <c r="X9" i="8"/>
  <c r="X8" i="8"/>
  <c r="A9" i="8"/>
  <c r="O9" i="8"/>
  <c r="Q9" i="8"/>
  <c r="A10" i="8"/>
  <c r="O10" i="8"/>
  <c r="Q10" i="8"/>
  <c r="A11" i="8"/>
  <c r="O11" i="8"/>
  <c r="Q11" i="8"/>
  <c r="A12" i="8"/>
  <c r="O12" i="8"/>
  <c r="Q12" i="8"/>
  <c r="A13" i="8"/>
  <c r="O13" i="8"/>
  <c r="Q13" i="8"/>
  <c r="A14" i="8"/>
  <c r="O14" i="8"/>
  <c r="Q14" i="8"/>
  <c r="A15" i="8"/>
  <c r="O15" i="8"/>
  <c r="Q15" i="8"/>
  <c r="A16" i="8"/>
  <c r="O16" i="8"/>
  <c r="Q16" i="8"/>
  <c r="A17" i="8"/>
  <c r="O17" i="8"/>
  <c r="Q17" i="8"/>
  <c r="A18" i="8"/>
  <c r="O18" i="8"/>
  <c r="Q18" i="8"/>
  <c r="A19" i="8"/>
  <c r="O19" i="8"/>
  <c r="Q19" i="8"/>
  <c r="A20" i="8"/>
  <c r="O20" i="8"/>
  <c r="Q20" i="8"/>
  <c r="A21" i="8"/>
  <c r="O21" i="8"/>
  <c r="Q21" i="8"/>
  <c r="A22" i="8"/>
  <c r="O22" i="8"/>
  <c r="Q22" i="8"/>
  <c r="A23" i="8"/>
  <c r="O23" i="8"/>
  <c r="Q23" i="8"/>
  <c r="A24" i="8"/>
  <c r="A25" i="8"/>
  <c r="A26" i="8"/>
  <c r="A27" i="8"/>
  <c r="O27" i="8"/>
  <c r="U27" i="8" s="1"/>
  <c r="Q27" i="8"/>
  <c r="W27" i="8" s="1"/>
  <c r="E28" i="8"/>
  <c r="X28" i="8"/>
  <c r="A29" i="8"/>
  <c r="O29" i="8"/>
  <c r="Q29" i="8"/>
  <c r="X48" i="8"/>
  <c r="X47" i="8"/>
  <c r="X46" i="8"/>
  <c r="X45" i="8"/>
  <c r="X44" i="8"/>
  <c r="X43" i="8"/>
  <c r="X42" i="8"/>
  <c r="X41" i="8"/>
  <c r="X40" i="8"/>
  <c r="X39" i="8"/>
  <c r="X38" i="8"/>
  <c r="X37" i="8"/>
  <c r="X36" i="8"/>
  <c r="X35" i="8"/>
  <c r="X34" i="8"/>
  <c r="X33" i="8"/>
  <c r="X32" i="8"/>
  <c r="X31" i="8"/>
  <c r="X30" i="8"/>
  <c r="X29" i="8"/>
  <c r="A30" i="8"/>
  <c r="O30" i="8"/>
  <c r="Q30" i="8"/>
  <c r="A31" i="8"/>
  <c r="O31" i="8"/>
  <c r="Q31" i="8"/>
  <c r="A32" i="8"/>
  <c r="O32" i="8"/>
  <c r="Q32" i="8"/>
  <c r="A33" i="8"/>
  <c r="O33" i="8"/>
  <c r="Q33" i="8"/>
  <c r="A34" i="8"/>
  <c r="O34" i="8"/>
  <c r="Q34" i="8"/>
  <c r="A35" i="8"/>
  <c r="O35" i="8"/>
  <c r="Q35" i="8"/>
  <c r="A36" i="8"/>
  <c r="O36" i="8"/>
  <c r="Q36" i="8"/>
  <c r="A37" i="8"/>
  <c r="O37" i="8"/>
  <c r="Q37" i="8"/>
  <c r="A38" i="8"/>
  <c r="O38" i="8"/>
  <c r="Q38" i="8"/>
  <c r="A39" i="8"/>
  <c r="O39" i="8"/>
  <c r="Q39" i="8"/>
  <c r="A40" i="8"/>
  <c r="O40" i="8"/>
  <c r="Q40" i="8"/>
  <c r="A41" i="8"/>
  <c r="O41" i="8"/>
  <c r="Q41" i="8"/>
  <c r="A42" i="8"/>
  <c r="O42" i="8"/>
  <c r="Q42" i="8"/>
  <c r="A43" i="8"/>
  <c r="O43" i="8"/>
  <c r="Q43" i="8"/>
  <c r="A44" i="8"/>
  <c r="O44" i="8"/>
  <c r="Q44" i="8"/>
  <c r="A45" i="8"/>
  <c r="A46" i="8"/>
  <c r="A47" i="8"/>
  <c r="A48" i="8"/>
  <c r="O48" i="8"/>
  <c r="U48" i="8" s="1"/>
  <c r="Q48" i="8"/>
  <c r="W48" i="8" s="1"/>
  <c r="E49" i="8"/>
  <c r="X49" i="8"/>
  <c r="A50" i="8"/>
  <c r="O50" i="8"/>
  <c r="Q50" i="8"/>
  <c r="X69" i="8"/>
  <c r="X68" i="8"/>
  <c r="X67" i="8"/>
  <c r="X66" i="8"/>
  <c r="X65" i="8"/>
  <c r="X64" i="8"/>
  <c r="X63" i="8"/>
  <c r="X62" i="8"/>
  <c r="X61" i="8"/>
  <c r="X60" i="8"/>
  <c r="X59" i="8"/>
  <c r="X58" i="8"/>
  <c r="X57" i="8"/>
  <c r="X56" i="8"/>
  <c r="X55" i="8"/>
  <c r="X54" i="8"/>
  <c r="X53" i="8"/>
  <c r="X52" i="8"/>
  <c r="X51" i="8"/>
  <c r="X50" i="8"/>
  <c r="A51" i="8"/>
  <c r="O51" i="8"/>
  <c r="Q51" i="8"/>
  <c r="A52" i="8"/>
  <c r="O52" i="8"/>
  <c r="Q52" i="8"/>
  <c r="A53" i="8"/>
  <c r="O53" i="8"/>
  <c r="Q53" i="8"/>
  <c r="A54" i="8"/>
  <c r="O54" i="8"/>
  <c r="Q54" i="8"/>
  <c r="A55" i="8"/>
  <c r="O55" i="8"/>
  <c r="Q55" i="8"/>
  <c r="A56" i="8"/>
  <c r="O56" i="8"/>
  <c r="Q56" i="8"/>
  <c r="A57" i="8"/>
  <c r="O57" i="8"/>
  <c r="Q57" i="8"/>
  <c r="A58" i="8"/>
  <c r="O58" i="8"/>
  <c r="Q58" i="8"/>
  <c r="A59" i="8"/>
  <c r="O59" i="8"/>
  <c r="Q59" i="8"/>
  <c r="A60" i="8"/>
  <c r="O60" i="8"/>
  <c r="Q60" i="8"/>
  <c r="A61" i="8"/>
  <c r="O61" i="8"/>
  <c r="Q61" i="8"/>
  <c r="A62" i="8"/>
  <c r="O62" i="8"/>
  <c r="Q62" i="8"/>
  <c r="A63" i="8"/>
  <c r="O63" i="8"/>
  <c r="Q63" i="8"/>
  <c r="A64" i="8"/>
  <c r="O64" i="8"/>
  <c r="Q64" i="8"/>
  <c r="A65" i="8"/>
  <c r="O65" i="8"/>
  <c r="Q65" i="8"/>
  <c r="A66" i="8"/>
  <c r="A67" i="8"/>
  <c r="A68" i="8"/>
  <c r="A69" i="8"/>
  <c r="O69" i="8"/>
  <c r="U69" i="8" s="1"/>
  <c r="Q69" i="8"/>
  <c r="W69" i="8" s="1"/>
  <c r="E70" i="8"/>
  <c r="X70" i="8"/>
  <c r="A71" i="8"/>
  <c r="O71" i="8"/>
  <c r="Q71" i="8"/>
  <c r="X90" i="8"/>
  <c r="X89" i="8"/>
  <c r="X88" i="8"/>
  <c r="X87" i="8"/>
  <c r="X86" i="8"/>
  <c r="X85" i="8"/>
  <c r="X84" i="8"/>
  <c r="X83" i="8"/>
  <c r="X82" i="8"/>
  <c r="X81" i="8"/>
  <c r="X80" i="8"/>
  <c r="X79" i="8"/>
  <c r="X78" i="8"/>
  <c r="X77" i="8"/>
  <c r="X76" i="8"/>
  <c r="X75" i="8"/>
  <c r="X74" i="8"/>
  <c r="X73" i="8"/>
  <c r="X72" i="8"/>
  <c r="X71" i="8"/>
  <c r="A72" i="8"/>
  <c r="O72" i="8"/>
  <c r="Q72" i="8"/>
  <c r="A73" i="8"/>
  <c r="O73" i="8"/>
  <c r="Q73" i="8"/>
  <c r="A74" i="8"/>
  <c r="O74" i="8"/>
  <c r="Q74" i="8"/>
  <c r="A75" i="8"/>
  <c r="O75" i="8"/>
  <c r="Q75" i="8"/>
  <c r="A76" i="8"/>
  <c r="O76" i="8"/>
  <c r="Q76" i="8"/>
  <c r="A77" i="8"/>
  <c r="O77" i="8"/>
  <c r="Q77" i="8"/>
  <c r="A78" i="8"/>
  <c r="O78" i="8"/>
  <c r="Q78" i="8"/>
  <c r="A79" i="8"/>
  <c r="O79" i="8"/>
  <c r="Q79" i="8"/>
  <c r="A80" i="8"/>
  <c r="O80" i="8"/>
  <c r="Q80" i="8"/>
  <c r="A81" i="8"/>
  <c r="O81" i="8"/>
  <c r="Q81" i="8"/>
  <c r="A82" i="8"/>
  <c r="O82" i="8"/>
  <c r="Q82" i="8"/>
  <c r="A83" i="8"/>
  <c r="O83" i="8"/>
  <c r="Q83" i="8"/>
  <c r="A84" i="8"/>
  <c r="O84" i="8"/>
  <c r="Q84" i="8"/>
  <c r="A85" i="8"/>
  <c r="O85" i="8"/>
  <c r="Q85" i="8"/>
  <c r="A86" i="8"/>
  <c r="O86" i="8"/>
  <c r="Q86" i="8"/>
  <c r="A87" i="8"/>
  <c r="A88" i="8"/>
  <c r="A89" i="8"/>
  <c r="A90" i="8"/>
  <c r="O90" i="8"/>
  <c r="U90" i="8" s="1"/>
  <c r="Q90" i="8"/>
  <c r="W90" i="8" s="1"/>
  <c r="E91" i="8"/>
  <c r="X91" i="8"/>
  <c r="A92" i="8"/>
  <c r="O92" i="8"/>
  <c r="Q92" i="8"/>
  <c r="X111" i="8"/>
  <c r="X110" i="8"/>
  <c r="X109" i="8"/>
  <c r="X108" i="8"/>
  <c r="X107" i="8"/>
  <c r="X106" i="8"/>
  <c r="X105" i="8"/>
  <c r="X104" i="8"/>
  <c r="X103" i="8"/>
  <c r="X102" i="8"/>
  <c r="X101" i="8"/>
  <c r="X100" i="8"/>
  <c r="X99" i="8"/>
  <c r="X98" i="8"/>
  <c r="X97" i="8"/>
  <c r="X96" i="8"/>
  <c r="X95" i="8"/>
  <c r="X94" i="8"/>
  <c r="X93" i="8"/>
  <c r="X92" i="8"/>
  <c r="A93" i="8"/>
  <c r="O93" i="8"/>
  <c r="Q93" i="8"/>
  <c r="A94" i="8"/>
  <c r="O94" i="8"/>
  <c r="Q94" i="8"/>
  <c r="A95" i="8"/>
  <c r="O95" i="8"/>
  <c r="Q95" i="8"/>
  <c r="A96" i="8"/>
  <c r="O96" i="8"/>
  <c r="Q96" i="8"/>
  <c r="A97" i="8"/>
  <c r="O97" i="8"/>
  <c r="Q97" i="8"/>
  <c r="A98" i="8"/>
  <c r="O98" i="8"/>
  <c r="Q98" i="8"/>
  <c r="A99" i="8"/>
  <c r="O99" i="8"/>
  <c r="Q99" i="8"/>
  <c r="A100" i="8"/>
  <c r="O100" i="8"/>
  <c r="Q100" i="8"/>
  <c r="A101" i="8"/>
  <c r="O101" i="8"/>
  <c r="Q101" i="8"/>
  <c r="A102" i="8"/>
  <c r="O102" i="8"/>
  <c r="Q102" i="8"/>
  <c r="A103" i="8"/>
  <c r="O103" i="8"/>
  <c r="Q103" i="8"/>
  <c r="A104" i="8"/>
  <c r="O104" i="8"/>
  <c r="Q104" i="8"/>
  <c r="A105" i="8"/>
  <c r="O105" i="8"/>
  <c r="Q105" i="8"/>
  <c r="A106" i="8"/>
  <c r="O106" i="8"/>
  <c r="Q106" i="8"/>
  <c r="A107" i="8"/>
  <c r="O107" i="8"/>
  <c r="Q107" i="8"/>
  <c r="A108" i="8"/>
  <c r="A109" i="8"/>
  <c r="A110" i="8"/>
  <c r="A111" i="8"/>
  <c r="O111" i="8"/>
  <c r="U111" i="8" s="1"/>
  <c r="Q111" i="8"/>
  <c r="W111" i="8" s="1"/>
  <c r="E112" i="8"/>
  <c r="X112" i="8"/>
  <c r="A113" i="8"/>
  <c r="O113" i="8"/>
  <c r="Q113" i="8"/>
  <c r="X132" i="8"/>
  <c r="X131" i="8"/>
  <c r="X130" i="8"/>
  <c r="X129" i="8"/>
  <c r="X128" i="8"/>
  <c r="X127" i="8"/>
  <c r="X126" i="8"/>
  <c r="X125" i="8"/>
  <c r="X124" i="8"/>
  <c r="X123" i="8"/>
  <c r="X122" i="8"/>
  <c r="X121" i="8"/>
  <c r="X120" i="8"/>
  <c r="X119" i="8"/>
  <c r="X118" i="8"/>
  <c r="X117" i="8"/>
  <c r="X116" i="8"/>
  <c r="X115" i="8"/>
  <c r="X114" i="8"/>
  <c r="X113" i="8"/>
  <c r="A114" i="8"/>
  <c r="O114" i="8"/>
  <c r="Q114" i="8"/>
  <c r="A115" i="8"/>
  <c r="O115" i="8"/>
  <c r="Q115" i="8"/>
  <c r="A116" i="8"/>
  <c r="O116" i="8"/>
  <c r="Q116" i="8"/>
  <c r="A117" i="8"/>
  <c r="O117" i="8"/>
  <c r="Q117" i="8"/>
  <c r="A118" i="8"/>
  <c r="O118" i="8"/>
  <c r="Q118" i="8"/>
  <c r="A119" i="8"/>
  <c r="O119" i="8"/>
  <c r="Q119" i="8"/>
  <c r="A120" i="8"/>
  <c r="O120" i="8"/>
  <c r="Q120" i="8"/>
  <c r="A121" i="8"/>
  <c r="O121" i="8"/>
  <c r="Q121" i="8"/>
  <c r="A122" i="8"/>
  <c r="O122" i="8"/>
  <c r="Q122" i="8"/>
  <c r="A123" i="8"/>
  <c r="O123" i="8"/>
  <c r="Q123" i="8"/>
  <c r="A124" i="8"/>
  <c r="O124" i="8"/>
  <c r="Q124" i="8"/>
  <c r="A125" i="8"/>
  <c r="O125" i="8"/>
  <c r="Q125" i="8"/>
  <c r="A126" i="8"/>
  <c r="O126" i="8"/>
  <c r="Q126" i="8"/>
  <c r="A127" i="8"/>
  <c r="O127" i="8"/>
  <c r="Q127" i="8"/>
  <c r="A128" i="8"/>
  <c r="O128" i="8"/>
  <c r="Q128" i="8"/>
  <c r="A129" i="8"/>
  <c r="A130" i="8"/>
  <c r="A131" i="8"/>
  <c r="A132" i="8"/>
  <c r="O132" i="8"/>
  <c r="U132" i="8" s="1"/>
  <c r="Q132" i="8"/>
  <c r="W132" i="8" s="1"/>
  <c r="E133" i="8"/>
  <c r="X133" i="8"/>
  <c r="A134" i="8"/>
  <c r="O134" i="8"/>
  <c r="Q134" i="8"/>
  <c r="X153" i="8"/>
  <c r="X152" i="8"/>
  <c r="X151" i="8"/>
  <c r="X150" i="8"/>
  <c r="X149" i="8"/>
  <c r="X148" i="8"/>
  <c r="X147" i="8"/>
  <c r="X146" i="8"/>
  <c r="X145" i="8"/>
  <c r="X144" i="8"/>
  <c r="X143" i="8"/>
  <c r="X142" i="8"/>
  <c r="X141" i="8"/>
  <c r="X140" i="8"/>
  <c r="X139" i="8"/>
  <c r="X138" i="8"/>
  <c r="X137" i="8"/>
  <c r="X136" i="8"/>
  <c r="X135" i="8"/>
  <c r="X134" i="8"/>
  <c r="A135" i="8"/>
  <c r="O135" i="8"/>
  <c r="Q135" i="8"/>
  <c r="A136" i="8"/>
  <c r="O136" i="8"/>
  <c r="Q136" i="8"/>
  <c r="A137" i="8"/>
  <c r="O137" i="8"/>
  <c r="Q137" i="8"/>
  <c r="A138" i="8"/>
  <c r="O138" i="8"/>
  <c r="Q138" i="8"/>
  <c r="A139" i="8"/>
  <c r="O139" i="8"/>
  <c r="Q139" i="8"/>
  <c r="A140" i="8"/>
  <c r="O140" i="8"/>
  <c r="Q140" i="8"/>
  <c r="A141" i="8"/>
  <c r="O141" i="8"/>
  <c r="Q141" i="8"/>
  <c r="A142" i="8"/>
  <c r="O142" i="8"/>
  <c r="Q142" i="8"/>
  <c r="A143" i="8"/>
  <c r="O143" i="8"/>
  <c r="Q143" i="8"/>
  <c r="A144" i="8"/>
  <c r="O144" i="8"/>
  <c r="Q144" i="8"/>
  <c r="A145" i="8"/>
  <c r="O145" i="8"/>
  <c r="Q145" i="8"/>
  <c r="A146" i="8"/>
  <c r="O146" i="8"/>
  <c r="Q146" i="8"/>
  <c r="A147" i="8"/>
  <c r="O147" i="8"/>
  <c r="Q147" i="8"/>
  <c r="A148" i="8"/>
  <c r="O148" i="8"/>
  <c r="Q148" i="8"/>
  <c r="A149" i="8"/>
  <c r="O149" i="8"/>
  <c r="Q149" i="8"/>
  <c r="A150" i="8"/>
  <c r="A151" i="8"/>
  <c r="A152" i="8"/>
  <c r="A153" i="8"/>
  <c r="O153" i="8"/>
  <c r="U153" i="8" s="1"/>
  <c r="Q153" i="8"/>
  <c r="W153" i="8" s="1"/>
  <c r="E154" i="8"/>
  <c r="X154" i="8"/>
  <c r="A155" i="8"/>
  <c r="O155" i="8"/>
  <c r="Q155" i="8"/>
  <c r="X174" i="8"/>
  <c r="X173" i="8"/>
  <c r="X172" i="8"/>
  <c r="X171" i="8"/>
  <c r="X170" i="8"/>
  <c r="X169" i="8"/>
  <c r="X168" i="8"/>
  <c r="X167" i="8"/>
  <c r="X166" i="8"/>
  <c r="X165" i="8"/>
  <c r="X164" i="8"/>
  <c r="X163" i="8"/>
  <c r="X162" i="8"/>
  <c r="X161" i="8"/>
  <c r="X160" i="8"/>
  <c r="X159" i="8"/>
  <c r="X158" i="8"/>
  <c r="X157" i="8"/>
  <c r="X156" i="8"/>
  <c r="X155" i="8"/>
  <c r="A156" i="8"/>
  <c r="O156" i="8"/>
  <c r="Q156" i="8"/>
  <c r="A157" i="8"/>
  <c r="O157" i="8"/>
  <c r="Q157" i="8"/>
  <c r="A158" i="8"/>
  <c r="O158" i="8"/>
  <c r="Q158" i="8"/>
  <c r="A159" i="8"/>
  <c r="O159" i="8"/>
  <c r="Q159" i="8"/>
  <c r="A160" i="8"/>
  <c r="O160" i="8"/>
  <c r="Q160" i="8"/>
  <c r="A161" i="8"/>
  <c r="O161" i="8"/>
  <c r="Q161" i="8"/>
  <c r="A162" i="8"/>
  <c r="O162" i="8"/>
  <c r="Q162" i="8"/>
  <c r="A163" i="8"/>
  <c r="O163" i="8"/>
  <c r="Q163" i="8"/>
  <c r="A164" i="8"/>
  <c r="O164" i="8"/>
  <c r="Q164" i="8"/>
  <c r="A165" i="8"/>
  <c r="O165" i="8"/>
  <c r="Q165" i="8"/>
  <c r="A166" i="8"/>
  <c r="O166" i="8"/>
  <c r="Q166" i="8"/>
  <c r="A167" i="8"/>
  <c r="O167" i="8"/>
  <c r="Q167" i="8"/>
  <c r="A168" i="8"/>
  <c r="O168" i="8"/>
  <c r="Q168" i="8"/>
  <c r="A169" i="8"/>
  <c r="O169" i="8"/>
  <c r="Q169" i="8"/>
  <c r="A170" i="8"/>
  <c r="O170" i="8"/>
  <c r="Q170" i="8"/>
  <c r="A171" i="8"/>
  <c r="A172" i="8"/>
  <c r="A173" i="8"/>
  <c r="A174" i="8"/>
  <c r="O174" i="8"/>
  <c r="U174" i="8" s="1"/>
  <c r="Q174" i="8"/>
  <c r="W174" i="8" s="1"/>
  <c r="E175" i="8"/>
  <c r="X175" i="8"/>
  <c r="A176" i="8"/>
  <c r="O176" i="8"/>
  <c r="Q176" i="8"/>
  <c r="X195" i="8"/>
  <c r="X194" i="8"/>
  <c r="X193" i="8"/>
  <c r="X192" i="8"/>
  <c r="X191" i="8"/>
  <c r="X190" i="8"/>
  <c r="X189" i="8"/>
  <c r="X188" i="8"/>
  <c r="X187" i="8"/>
  <c r="X186" i="8"/>
  <c r="X185" i="8"/>
  <c r="X184" i="8"/>
  <c r="X183" i="8"/>
  <c r="X182" i="8"/>
  <c r="X181" i="8"/>
  <c r="X180" i="8"/>
  <c r="X179" i="8"/>
  <c r="X178" i="8"/>
  <c r="X177" i="8"/>
  <c r="X176" i="8"/>
  <c r="A177" i="8"/>
  <c r="O177" i="8"/>
  <c r="Q177" i="8"/>
  <c r="A178" i="8"/>
  <c r="O178" i="8"/>
  <c r="Q178" i="8"/>
  <c r="A179" i="8"/>
  <c r="O179" i="8"/>
  <c r="Q179" i="8"/>
  <c r="A180" i="8"/>
  <c r="O180" i="8"/>
  <c r="Q180" i="8"/>
  <c r="A181" i="8"/>
  <c r="O181" i="8"/>
  <c r="Q181" i="8"/>
  <c r="A182" i="8"/>
  <c r="O182" i="8"/>
  <c r="Q182" i="8"/>
  <c r="A183" i="8"/>
  <c r="O183" i="8"/>
  <c r="Q183" i="8"/>
  <c r="A184" i="8"/>
  <c r="O184" i="8"/>
  <c r="Q184" i="8"/>
  <c r="A185" i="8"/>
  <c r="O185" i="8"/>
  <c r="Q185" i="8"/>
  <c r="A186" i="8"/>
  <c r="O186" i="8"/>
  <c r="Q186" i="8"/>
  <c r="A187" i="8"/>
  <c r="O187" i="8"/>
  <c r="Q187" i="8"/>
  <c r="A188" i="8"/>
  <c r="O188" i="8"/>
  <c r="Q188" i="8"/>
  <c r="A189" i="8"/>
  <c r="O189" i="8"/>
  <c r="Q189" i="8"/>
  <c r="A190" i="8"/>
  <c r="O190" i="8"/>
  <c r="Q190" i="8"/>
  <c r="A191" i="8"/>
  <c r="O191" i="8"/>
  <c r="Q191" i="8"/>
  <c r="A192" i="8"/>
  <c r="A193" i="8"/>
  <c r="A194" i="8"/>
  <c r="A195" i="8"/>
  <c r="O195" i="8"/>
  <c r="U195" i="8" s="1"/>
  <c r="Q195" i="8"/>
  <c r="W195" i="8" s="1"/>
  <c r="E196" i="8"/>
  <c r="X196" i="8"/>
  <c r="A197" i="8"/>
  <c r="O197" i="8"/>
  <c r="Q197" i="8"/>
  <c r="X216" i="8"/>
  <c r="X215" i="8"/>
  <c r="X214" i="8"/>
  <c r="X213" i="8"/>
  <c r="X212" i="8"/>
  <c r="X211" i="8"/>
  <c r="X210" i="8"/>
  <c r="X209" i="8"/>
  <c r="X208" i="8"/>
  <c r="X207" i="8"/>
  <c r="X206" i="8"/>
  <c r="X205" i="8"/>
  <c r="X204" i="8"/>
  <c r="X203" i="8"/>
  <c r="X202" i="8"/>
  <c r="X201" i="8"/>
  <c r="X200" i="8"/>
  <c r="X199" i="8"/>
  <c r="X198" i="8"/>
  <c r="X197" i="8"/>
  <c r="A198" i="8"/>
  <c r="O198" i="8"/>
  <c r="Q198" i="8"/>
  <c r="A199" i="8"/>
  <c r="O199" i="8"/>
  <c r="Q199" i="8"/>
  <c r="A200" i="8"/>
  <c r="O200" i="8"/>
  <c r="Q200" i="8"/>
  <c r="A201" i="8"/>
  <c r="O201" i="8"/>
  <c r="Q201" i="8"/>
  <c r="A202" i="8"/>
  <c r="O202" i="8"/>
  <c r="Q202" i="8"/>
  <c r="A203" i="8"/>
  <c r="O203" i="8"/>
  <c r="Q203" i="8"/>
  <c r="A204" i="8"/>
  <c r="O204" i="8"/>
  <c r="Q204" i="8"/>
  <c r="A205" i="8"/>
  <c r="O205" i="8"/>
  <c r="Q205" i="8"/>
  <c r="A206" i="8"/>
  <c r="O206" i="8"/>
  <c r="Q206" i="8"/>
  <c r="A207" i="8"/>
  <c r="O207" i="8"/>
  <c r="Q207" i="8"/>
  <c r="A208" i="8"/>
  <c r="O208" i="8"/>
  <c r="Q208" i="8"/>
  <c r="A209" i="8"/>
  <c r="O209" i="8"/>
  <c r="Q209" i="8"/>
  <c r="A210" i="8"/>
  <c r="O210" i="8"/>
  <c r="Q210" i="8"/>
  <c r="A211" i="8"/>
  <c r="O211" i="8"/>
  <c r="Q211" i="8"/>
  <c r="A212" i="8"/>
  <c r="O212" i="8"/>
  <c r="Q212" i="8"/>
  <c r="A213" i="8"/>
  <c r="A214" i="8"/>
  <c r="A215" i="8"/>
  <c r="A216" i="8"/>
  <c r="O216" i="8"/>
  <c r="U216" i="8" s="1"/>
  <c r="Q216" i="8"/>
  <c r="W216" i="8" s="1"/>
  <c r="E217" i="8"/>
  <c r="X217" i="8"/>
  <c r="A218" i="8"/>
  <c r="O218" i="8"/>
  <c r="Q218" i="8"/>
  <c r="X237" i="8"/>
  <c r="X236" i="8"/>
  <c r="X235" i="8"/>
  <c r="X234" i="8"/>
  <c r="X233" i="8"/>
  <c r="X232" i="8"/>
  <c r="X231" i="8"/>
  <c r="X230" i="8"/>
  <c r="X229" i="8"/>
  <c r="X228" i="8"/>
  <c r="X227" i="8"/>
  <c r="X226" i="8"/>
  <c r="X225" i="8"/>
  <c r="X224" i="8"/>
  <c r="X223" i="8"/>
  <c r="X222" i="8"/>
  <c r="X221" i="8"/>
  <c r="X220" i="8"/>
  <c r="X219" i="8"/>
  <c r="X218" i="8"/>
  <c r="A219" i="8"/>
  <c r="O219" i="8"/>
  <c r="Q219" i="8"/>
  <c r="A220" i="8"/>
  <c r="O220" i="8"/>
  <c r="Q220" i="8"/>
  <c r="A221" i="8"/>
  <c r="O221" i="8"/>
  <c r="Q221" i="8"/>
  <c r="A222" i="8"/>
  <c r="O222" i="8"/>
  <c r="Q222" i="8"/>
  <c r="A223" i="8"/>
  <c r="O223" i="8"/>
  <c r="Q223" i="8"/>
  <c r="A224" i="8"/>
  <c r="O224" i="8"/>
  <c r="Q224" i="8"/>
  <c r="A225" i="8"/>
  <c r="O225" i="8"/>
  <c r="Q225" i="8"/>
  <c r="A226" i="8"/>
  <c r="O226" i="8"/>
  <c r="Q226" i="8"/>
  <c r="A227" i="8"/>
  <c r="O227" i="8"/>
  <c r="Q227" i="8"/>
  <c r="A228" i="8"/>
  <c r="O228" i="8"/>
  <c r="Q228" i="8"/>
  <c r="A229" i="8"/>
  <c r="O229" i="8"/>
  <c r="Q229" i="8"/>
  <c r="A230" i="8"/>
  <c r="O230" i="8"/>
  <c r="Q230" i="8"/>
  <c r="A231" i="8"/>
  <c r="O231" i="8"/>
  <c r="Q231" i="8"/>
  <c r="A232" i="8"/>
  <c r="O232" i="8"/>
  <c r="Q232" i="8"/>
  <c r="A233" i="8"/>
  <c r="O233" i="8"/>
  <c r="Q233" i="8"/>
  <c r="A234" i="8"/>
  <c r="A235" i="8"/>
  <c r="A236" i="8"/>
  <c r="A237" i="8"/>
  <c r="O237" i="8"/>
  <c r="U237" i="8" s="1"/>
  <c r="Q237" i="8"/>
  <c r="W237" i="8" s="1"/>
  <c r="E238" i="8"/>
  <c r="X238" i="8"/>
  <c r="A239" i="8"/>
  <c r="O239" i="8"/>
  <c r="Q239" i="8"/>
  <c r="X258" i="8"/>
  <c r="X257" i="8"/>
  <c r="X256" i="8"/>
  <c r="X255" i="8"/>
  <c r="X254" i="8"/>
  <c r="X253" i="8"/>
  <c r="X252" i="8"/>
  <c r="X251" i="8"/>
  <c r="X250" i="8"/>
  <c r="X249" i="8"/>
  <c r="X248" i="8"/>
  <c r="X247" i="8"/>
  <c r="X246" i="8"/>
  <c r="X245" i="8"/>
  <c r="X244" i="8"/>
  <c r="X243" i="8"/>
  <c r="X242" i="8"/>
  <c r="X241" i="8"/>
  <c r="X240" i="8"/>
  <c r="X239" i="8"/>
  <c r="A240" i="8"/>
  <c r="O240" i="8"/>
  <c r="Q240" i="8"/>
  <c r="A241" i="8"/>
  <c r="O241" i="8"/>
  <c r="Q241" i="8"/>
  <c r="A242" i="8"/>
  <c r="O242" i="8"/>
  <c r="Q242" i="8"/>
  <c r="A243" i="8"/>
  <c r="O243" i="8"/>
  <c r="Q243" i="8"/>
  <c r="A244" i="8"/>
  <c r="O244" i="8"/>
  <c r="Q244" i="8"/>
  <c r="A245" i="8"/>
  <c r="O245" i="8"/>
  <c r="Q245" i="8"/>
  <c r="A246" i="8"/>
  <c r="O246" i="8"/>
  <c r="Q246" i="8"/>
  <c r="A247" i="8"/>
  <c r="O247" i="8"/>
  <c r="Q247" i="8"/>
  <c r="A248" i="8"/>
  <c r="O248" i="8"/>
  <c r="Q248" i="8"/>
  <c r="A249" i="8"/>
  <c r="O249" i="8"/>
  <c r="Q249" i="8"/>
  <c r="A250" i="8"/>
  <c r="O250" i="8"/>
  <c r="Q250" i="8"/>
  <c r="A251" i="8"/>
  <c r="O251" i="8"/>
  <c r="Q251" i="8"/>
  <c r="A252" i="8"/>
  <c r="O252" i="8"/>
  <c r="Q252" i="8"/>
  <c r="A253" i="8"/>
  <c r="O253" i="8"/>
  <c r="Q253" i="8"/>
  <c r="A254" i="8"/>
  <c r="O254" i="8"/>
  <c r="Q254" i="8"/>
  <c r="A255" i="8"/>
  <c r="A256" i="8"/>
  <c r="A257" i="8"/>
  <c r="A258" i="8"/>
  <c r="O258" i="8"/>
  <c r="U258" i="8" s="1"/>
  <c r="Q258" i="8"/>
  <c r="W258" i="8" s="1"/>
  <c r="E259" i="8"/>
  <c r="X259" i="8"/>
  <c r="A260" i="8"/>
  <c r="O260" i="8"/>
  <c r="Q260" i="8"/>
  <c r="X279" i="8"/>
  <c r="X278" i="8"/>
  <c r="X277" i="8"/>
  <c r="X276" i="8"/>
  <c r="X275" i="8"/>
  <c r="X274" i="8"/>
  <c r="X273" i="8"/>
  <c r="X272" i="8"/>
  <c r="X271" i="8"/>
  <c r="X270" i="8"/>
  <c r="X269" i="8"/>
  <c r="X268" i="8"/>
  <c r="X267" i="8"/>
  <c r="X266" i="8"/>
  <c r="X265" i="8"/>
  <c r="X264" i="8"/>
  <c r="X263" i="8"/>
  <c r="X262" i="8"/>
  <c r="X261" i="8"/>
  <c r="X260" i="8"/>
  <c r="A261" i="8"/>
  <c r="O261" i="8"/>
  <c r="Q261" i="8"/>
  <c r="A262" i="8"/>
  <c r="O262" i="8"/>
  <c r="Q262" i="8"/>
  <c r="A263" i="8"/>
  <c r="O263" i="8"/>
  <c r="Q263" i="8"/>
  <c r="A264" i="8"/>
  <c r="O264" i="8"/>
  <c r="Q264" i="8"/>
  <c r="A265" i="8"/>
  <c r="O265" i="8"/>
  <c r="Q265" i="8"/>
  <c r="A266" i="8"/>
  <c r="O266" i="8"/>
  <c r="Q266" i="8"/>
  <c r="A267" i="8"/>
  <c r="O267" i="8"/>
  <c r="Q267" i="8"/>
  <c r="A268" i="8"/>
  <c r="O268" i="8"/>
  <c r="Q268" i="8"/>
  <c r="A269" i="8"/>
  <c r="O269" i="8"/>
  <c r="Q269" i="8"/>
  <c r="A270" i="8"/>
  <c r="O270" i="8"/>
  <c r="Q270" i="8"/>
  <c r="A271" i="8"/>
  <c r="O271" i="8"/>
  <c r="Q271" i="8"/>
  <c r="A272" i="8"/>
  <c r="O272" i="8"/>
  <c r="Q272" i="8"/>
  <c r="A273" i="8"/>
  <c r="O273" i="8"/>
  <c r="Q273" i="8"/>
  <c r="A274" i="8"/>
  <c r="O274" i="8"/>
  <c r="Q274" i="8"/>
  <c r="A275" i="8"/>
  <c r="O275" i="8"/>
  <c r="Q275" i="8"/>
  <c r="A276" i="8"/>
  <c r="A277" i="8"/>
  <c r="A278" i="8"/>
  <c r="A279" i="8"/>
  <c r="O279" i="8"/>
  <c r="U279" i="8" s="1"/>
  <c r="Q279" i="8"/>
  <c r="W279" i="8" s="1"/>
  <c r="E280" i="8"/>
  <c r="X280" i="8"/>
  <c r="A281" i="8"/>
  <c r="O281" i="8"/>
  <c r="Q281" i="8"/>
  <c r="X300" i="8"/>
  <c r="X299" i="8"/>
  <c r="X298" i="8"/>
  <c r="X297" i="8"/>
  <c r="X296" i="8"/>
  <c r="X295" i="8"/>
  <c r="X294" i="8"/>
  <c r="X293" i="8"/>
  <c r="X292" i="8"/>
  <c r="X291" i="8"/>
  <c r="X290" i="8"/>
  <c r="X289" i="8"/>
  <c r="X288" i="8"/>
  <c r="X287" i="8"/>
  <c r="X286" i="8"/>
  <c r="X285" i="8"/>
  <c r="X284" i="8"/>
  <c r="X283" i="8"/>
  <c r="X282" i="8"/>
  <c r="X281" i="8"/>
  <c r="A282" i="8"/>
  <c r="O282" i="8"/>
  <c r="Q282" i="8"/>
  <c r="A283" i="8"/>
  <c r="O283" i="8"/>
  <c r="Q283" i="8"/>
  <c r="A284" i="8"/>
  <c r="O284" i="8"/>
  <c r="Q284" i="8"/>
  <c r="A285" i="8"/>
  <c r="O285" i="8"/>
  <c r="Q285" i="8"/>
  <c r="A286" i="8"/>
  <c r="O286" i="8"/>
  <c r="Q286" i="8"/>
  <c r="A287" i="8"/>
  <c r="O287" i="8"/>
  <c r="Q287" i="8"/>
  <c r="A288" i="8"/>
  <c r="O288" i="8"/>
  <c r="Q288" i="8"/>
  <c r="A289" i="8"/>
  <c r="O289" i="8"/>
  <c r="Q289" i="8"/>
  <c r="A290" i="8"/>
  <c r="O290" i="8"/>
  <c r="Q290" i="8"/>
  <c r="A291" i="8"/>
  <c r="O291" i="8"/>
  <c r="Q291" i="8"/>
  <c r="A292" i="8"/>
  <c r="O292" i="8"/>
  <c r="Q292" i="8"/>
  <c r="A293" i="8"/>
  <c r="O293" i="8"/>
  <c r="Q293" i="8"/>
  <c r="A294" i="8"/>
  <c r="O294" i="8"/>
  <c r="Q294" i="8"/>
  <c r="A295" i="8"/>
  <c r="O295" i="8"/>
  <c r="Q295" i="8"/>
  <c r="A296" i="8"/>
  <c r="O296" i="8"/>
  <c r="Q296" i="8"/>
  <c r="A297" i="8"/>
  <c r="A298" i="8"/>
  <c r="A299" i="8"/>
  <c r="A300" i="8"/>
  <c r="O300" i="8"/>
  <c r="U300" i="8" s="1"/>
  <c r="Q300" i="8"/>
  <c r="W300" i="8" s="1"/>
  <c r="E301" i="8"/>
  <c r="X301" i="8"/>
  <c r="A302" i="8"/>
  <c r="O302" i="8"/>
  <c r="Q302" i="8"/>
  <c r="X321" i="8"/>
  <c r="X320" i="8"/>
  <c r="X319" i="8"/>
  <c r="X318" i="8"/>
  <c r="X317" i="8"/>
  <c r="X316" i="8"/>
  <c r="X315" i="8"/>
  <c r="X314" i="8"/>
  <c r="X313" i="8"/>
  <c r="X312" i="8"/>
  <c r="X311" i="8"/>
  <c r="X310" i="8"/>
  <c r="X309" i="8"/>
  <c r="X308" i="8"/>
  <c r="X307" i="8"/>
  <c r="X306" i="8"/>
  <c r="X305" i="8"/>
  <c r="X304" i="8"/>
  <c r="X303" i="8"/>
  <c r="X302" i="8"/>
  <c r="A303" i="8"/>
  <c r="O303" i="8"/>
  <c r="Q303" i="8"/>
  <c r="A304" i="8"/>
  <c r="O304" i="8"/>
  <c r="Q304" i="8"/>
  <c r="A305" i="8"/>
  <c r="O305" i="8"/>
  <c r="Q305" i="8"/>
  <c r="A306" i="8"/>
  <c r="O306" i="8"/>
  <c r="Q306" i="8"/>
  <c r="A307" i="8"/>
  <c r="O307" i="8"/>
  <c r="Q307" i="8"/>
  <c r="A308" i="8"/>
  <c r="O308" i="8"/>
  <c r="Q308" i="8"/>
  <c r="A309" i="8"/>
  <c r="O309" i="8"/>
  <c r="Q309" i="8"/>
  <c r="A310" i="8"/>
  <c r="O310" i="8"/>
  <c r="Q310" i="8"/>
  <c r="A311" i="8"/>
  <c r="O311" i="8"/>
  <c r="Q311" i="8"/>
  <c r="A312" i="8"/>
  <c r="O312" i="8"/>
  <c r="Q312" i="8"/>
  <c r="A313" i="8"/>
  <c r="O313" i="8"/>
  <c r="Q313" i="8"/>
  <c r="A314" i="8"/>
  <c r="O314" i="8"/>
  <c r="Q314" i="8"/>
  <c r="A315" i="8"/>
  <c r="O315" i="8"/>
  <c r="Q315" i="8"/>
  <c r="A316" i="8"/>
  <c r="O316" i="8"/>
  <c r="Q316" i="8"/>
  <c r="A317" i="8"/>
  <c r="O317" i="8"/>
  <c r="Q317" i="8"/>
  <c r="A318" i="8"/>
  <c r="A319" i="8"/>
  <c r="A320" i="8"/>
  <c r="A321" i="8"/>
  <c r="O321" i="8"/>
  <c r="U321" i="8" s="1"/>
  <c r="Q321" i="8"/>
  <c r="W321" i="8" s="1"/>
  <c r="E322" i="8"/>
  <c r="X322" i="8"/>
  <c r="A323" i="8"/>
  <c r="O323" i="8"/>
  <c r="Q323" i="8"/>
  <c r="X342" i="8"/>
  <c r="X341" i="8"/>
  <c r="X340" i="8"/>
  <c r="X339" i="8"/>
  <c r="X338" i="8"/>
  <c r="X337" i="8"/>
  <c r="X336" i="8"/>
  <c r="X335" i="8"/>
  <c r="X334" i="8"/>
  <c r="X333" i="8"/>
  <c r="X332" i="8"/>
  <c r="X331" i="8"/>
  <c r="X330" i="8"/>
  <c r="X329" i="8"/>
  <c r="X328" i="8"/>
  <c r="X327" i="8"/>
  <c r="X326" i="8"/>
  <c r="X325" i="8"/>
  <c r="X324" i="8"/>
  <c r="X323" i="8"/>
  <c r="A324" i="8"/>
  <c r="O324" i="8"/>
  <c r="Q324" i="8"/>
  <c r="A325" i="8"/>
  <c r="O325" i="8"/>
  <c r="Q325" i="8"/>
  <c r="A326" i="8"/>
  <c r="O326" i="8"/>
  <c r="Q326" i="8"/>
  <c r="A327" i="8"/>
  <c r="O327" i="8"/>
  <c r="Q327" i="8"/>
  <c r="A328" i="8"/>
  <c r="O328" i="8"/>
  <c r="Q328" i="8"/>
  <c r="A329" i="8"/>
  <c r="O329" i="8"/>
  <c r="Q329" i="8"/>
  <c r="A330" i="8"/>
  <c r="O330" i="8"/>
  <c r="Q330" i="8"/>
  <c r="A331" i="8"/>
  <c r="O331" i="8"/>
  <c r="Q331" i="8"/>
  <c r="A332" i="8"/>
  <c r="O332" i="8"/>
  <c r="Q332" i="8"/>
  <c r="A333" i="8"/>
  <c r="O333" i="8"/>
  <c r="Q333" i="8"/>
  <c r="A334" i="8"/>
  <c r="O334" i="8"/>
  <c r="Q334" i="8"/>
  <c r="A335" i="8"/>
  <c r="O335" i="8"/>
  <c r="Q335" i="8"/>
  <c r="A336" i="8"/>
  <c r="O336" i="8"/>
  <c r="Q336" i="8"/>
  <c r="A337" i="8"/>
  <c r="O337" i="8"/>
  <c r="Q337" i="8"/>
  <c r="A338" i="8"/>
  <c r="O338" i="8"/>
  <c r="Q338" i="8"/>
  <c r="A339" i="8"/>
  <c r="A340" i="8"/>
  <c r="A341" i="8"/>
  <c r="A342" i="8"/>
  <c r="O342" i="8"/>
  <c r="U342" i="8" s="1"/>
  <c r="Q342" i="8"/>
  <c r="W342" i="8" s="1"/>
  <c r="E343" i="8"/>
  <c r="X343" i="8"/>
  <c r="A344" i="8"/>
  <c r="O344" i="8"/>
  <c r="Q344" i="8"/>
  <c r="X363" i="8"/>
  <c r="X362" i="8"/>
  <c r="X361" i="8"/>
  <c r="X360" i="8"/>
  <c r="X359" i="8"/>
  <c r="X358" i="8"/>
  <c r="X357" i="8"/>
  <c r="X356" i="8"/>
  <c r="X355" i="8"/>
  <c r="X354" i="8"/>
  <c r="X353" i="8"/>
  <c r="X352" i="8"/>
  <c r="X351" i="8"/>
  <c r="X350" i="8"/>
  <c r="X349" i="8"/>
  <c r="X348" i="8"/>
  <c r="X347" i="8"/>
  <c r="X346" i="8"/>
  <c r="X345" i="8"/>
  <c r="X344" i="8"/>
  <c r="A345" i="8"/>
  <c r="O345" i="8"/>
  <c r="Q345" i="8"/>
  <c r="A346" i="8"/>
  <c r="O346" i="8"/>
  <c r="Q346" i="8"/>
  <c r="A347" i="8"/>
  <c r="O347" i="8"/>
  <c r="Q347" i="8"/>
  <c r="A348" i="8"/>
  <c r="O348" i="8"/>
  <c r="Q348" i="8"/>
  <c r="A349" i="8"/>
  <c r="O349" i="8"/>
  <c r="Q349" i="8"/>
  <c r="A350" i="8"/>
  <c r="O350" i="8"/>
  <c r="Q350" i="8"/>
  <c r="A351" i="8"/>
  <c r="O351" i="8"/>
  <c r="Q351" i="8"/>
  <c r="A352" i="8"/>
  <c r="O352" i="8"/>
  <c r="Q352" i="8"/>
  <c r="A353" i="8"/>
  <c r="O353" i="8"/>
  <c r="Q353" i="8"/>
  <c r="A354" i="8"/>
  <c r="O354" i="8"/>
  <c r="Q354" i="8"/>
  <c r="A355" i="8"/>
  <c r="O355" i="8"/>
  <c r="Q355" i="8"/>
  <c r="A356" i="8"/>
  <c r="O356" i="8"/>
  <c r="Q356" i="8"/>
  <c r="A357" i="8"/>
  <c r="O357" i="8"/>
  <c r="Q357" i="8"/>
  <c r="A358" i="8"/>
  <c r="O358" i="8"/>
  <c r="Q358" i="8"/>
  <c r="A359" i="8"/>
  <c r="O359" i="8"/>
  <c r="Q359" i="8"/>
  <c r="A360" i="8"/>
  <c r="A361" i="8"/>
  <c r="A362" i="8"/>
  <c r="A363" i="8"/>
  <c r="O363" i="8"/>
  <c r="U363" i="8" s="1"/>
  <c r="Q363" i="8"/>
  <c r="W363" i="8" s="1"/>
  <c r="E364" i="8"/>
  <c r="X364" i="8"/>
  <c r="A365" i="8"/>
  <c r="O365" i="8"/>
  <c r="Q365" i="8"/>
  <c r="X384" i="8"/>
  <c r="X383" i="8"/>
  <c r="X382" i="8"/>
  <c r="X381" i="8"/>
  <c r="X380" i="8"/>
  <c r="X379" i="8"/>
  <c r="X378" i="8"/>
  <c r="X377" i="8"/>
  <c r="X376" i="8"/>
  <c r="X375" i="8"/>
  <c r="X374" i="8"/>
  <c r="X373" i="8"/>
  <c r="X372" i="8"/>
  <c r="X371" i="8"/>
  <c r="X370" i="8"/>
  <c r="X369" i="8"/>
  <c r="X368" i="8"/>
  <c r="X367" i="8"/>
  <c r="X366" i="8"/>
  <c r="X365" i="8"/>
  <c r="A366" i="8"/>
  <c r="O366" i="8"/>
  <c r="Q366" i="8"/>
  <c r="A367" i="8"/>
  <c r="O367" i="8"/>
  <c r="Q367" i="8"/>
  <c r="A368" i="8"/>
  <c r="O368" i="8"/>
  <c r="Q368" i="8"/>
  <c r="A369" i="8"/>
  <c r="O369" i="8"/>
  <c r="Q369" i="8"/>
  <c r="A370" i="8"/>
  <c r="O370" i="8"/>
  <c r="Q370" i="8"/>
  <c r="A371" i="8"/>
  <c r="O371" i="8"/>
  <c r="Q371" i="8"/>
  <c r="A372" i="8"/>
  <c r="O372" i="8"/>
  <c r="Q372" i="8"/>
  <c r="A373" i="8"/>
  <c r="O373" i="8"/>
  <c r="Q373" i="8"/>
  <c r="A374" i="8"/>
  <c r="O374" i="8"/>
  <c r="Q374" i="8"/>
  <c r="A375" i="8"/>
  <c r="O375" i="8"/>
  <c r="Q375" i="8"/>
  <c r="A376" i="8"/>
  <c r="O376" i="8"/>
  <c r="Q376" i="8"/>
  <c r="A377" i="8"/>
  <c r="O377" i="8"/>
  <c r="Q377" i="8"/>
  <c r="A378" i="8"/>
  <c r="O378" i="8"/>
  <c r="Q378" i="8"/>
  <c r="A379" i="8"/>
  <c r="O379" i="8"/>
  <c r="Q379" i="8"/>
  <c r="A380" i="8"/>
  <c r="O380" i="8"/>
  <c r="Q380" i="8"/>
  <c r="A381" i="8"/>
  <c r="A382" i="8"/>
  <c r="A383" i="8"/>
  <c r="A384" i="8"/>
  <c r="O384" i="8"/>
  <c r="U384" i="8" s="1"/>
  <c r="Q384" i="8"/>
  <c r="W384" i="8" s="1"/>
  <c r="E385" i="8"/>
  <c r="X385" i="8"/>
  <c r="A386" i="8"/>
  <c r="O386" i="8"/>
  <c r="Q386" i="8"/>
  <c r="X405" i="8"/>
  <c r="X404" i="8"/>
  <c r="X403" i="8"/>
  <c r="X402" i="8"/>
  <c r="X401" i="8"/>
  <c r="X400" i="8"/>
  <c r="X399" i="8"/>
  <c r="X398" i="8"/>
  <c r="X397" i="8"/>
  <c r="X396" i="8"/>
  <c r="X395" i="8"/>
  <c r="X394" i="8"/>
  <c r="X393" i="8"/>
  <c r="X392" i="8"/>
  <c r="X391" i="8"/>
  <c r="X390" i="8"/>
  <c r="X389" i="8"/>
  <c r="X388" i="8"/>
  <c r="X387" i="8"/>
  <c r="X386" i="8"/>
  <c r="A387" i="8"/>
  <c r="O387" i="8"/>
  <c r="Q387" i="8"/>
  <c r="A388" i="8"/>
  <c r="O388" i="8"/>
  <c r="Q388" i="8"/>
  <c r="A389" i="8"/>
  <c r="O389" i="8"/>
  <c r="Q389" i="8"/>
  <c r="A390" i="8"/>
  <c r="O390" i="8"/>
  <c r="Q390" i="8"/>
  <c r="A391" i="8"/>
  <c r="O391" i="8"/>
  <c r="Q391" i="8"/>
  <c r="A392" i="8"/>
  <c r="O392" i="8"/>
  <c r="Q392" i="8"/>
  <c r="A393" i="8"/>
  <c r="O393" i="8"/>
  <c r="Q393" i="8"/>
  <c r="A394" i="8"/>
  <c r="O394" i="8"/>
  <c r="Q394" i="8"/>
  <c r="A395" i="8"/>
  <c r="O395" i="8"/>
  <c r="Q395" i="8"/>
  <c r="A396" i="8"/>
  <c r="O396" i="8"/>
  <c r="Q396" i="8"/>
  <c r="A397" i="8"/>
  <c r="O397" i="8"/>
  <c r="Q397" i="8"/>
  <c r="A398" i="8"/>
  <c r="O398" i="8"/>
  <c r="Q398" i="8"/>
  <c r="A399" i="8"/>
  <c r="O399" i="8"/>
  <c r="Q399" i="8"/>
  <c r="A400" i="8"/>
  <c r="O400" i="8"/>
  <c r="Q400" i="8"/>
  <c r="A401" i="8"/>
  <c r="O401" i="8"/>
  <c r="Q401" i="8"/>
  <c r="A402" i="8"/>
  <c r="A403" i="8"/>
  <c r="A404" i="8"/>
  <c r="A405" i="8"/>
  <c r="O405" i="8"/>
  <c r="U405" i="8" s="1"/>
  <c r="Q405" i="8"/>
  <c r="W405" i="8" s="1"/>
  <c r="E406" i="8"/>
  <c r="X406" i="8"/>
  <c r="A407" i="8"/>
  <c r="O407" i="8"/>
  <c r="Q407" i="8"/>
  <c r="X426" i="8"/>
  <c r="X425" i="8"/>
  <c r="X424" i="8"/>
  <c r="X423" i="8"/>
  <c r="X422" i="8"/>
  <c r="X421" i="8"/>
  <c r="X420" i="8"/>
  <c r="X419" i="8"/>
  <c r="X418" i="8"/>
  <c r="X417" i="8"/>
  <c r="X416" i="8"/>
  <c r="X415" i="8"/>
  <c r="X414" i="8"/>
  <c r="X413" i="8"/>
  <c r="X412" i="8"/>
  <c r="X411" i="8"/>
  <c r="X410" i="8"/>
  <c r="X409" i="8"/>
  <c r="X408" i="8"/>
  <c r="X407" i="8"/>
  <c r="A408" i="8"/>
  <c r="O408" i="8"/>
  <c r="Q408" i="8"/>
  <c r="A409" i="8"/>
  <c r="O409" i="8"/>
  <c r="Q409" i="8"/>
  <c r="A410" i="8"/>
  <c r="O410" i="8"/>
  <c r="Q410" i="8"/>
  <c r="A411" i="8"/>
  <c r="O411" i="8"/>
  <c r="Q411" i="8"/>
  <c r="A412" i="8"/>
  <c r="O412" i="8"/>
  <c r="Q412" i="8"/>
  <c r="A413" i="8"/>
  <c r="O413" i="8"/>
  <c r="Q413" i="8"/>
  <c r="A414" i="8"/>
  <c r="O414" i="8"/>
  <c r="Q414" i="8"/>
  <c r="A415" i="8"/>
  <c r="O415" i="8"/>
  <c r="Q415" i="8"/>
  <c r="A416" i="8"/>
  <c r="O416" i="8"/>
  <c r="Q416" i="8"/>
  <c r="A417" i="8"/>
  <c r="O417" i="8"/>
  <c r="Q417" i="8"/>
  <c r="A418" i="8"/>
  <c r="O418" i="8"/>
  <c r="Q418" i="8"/>
  <c r="A419" i="8"/>
  <c r="O419" i="8"/>
  <c r="Q419" i="8"/>
  <c r="A420" i="8"/>
  <c r="O420" i="8"/>
  <c r="Q420" i="8"/>
  <c r="A421" i="8"/>
  <c r="O421" i="8"/>
  <c r="Q421" i="8"/>
  <c r="A422" i="8"/>
  <c r="O422" i="8"/>
  <c r="Q422" i="8"/>
  <c r="A423" i="8"/>
  <c r="A424" i="8"/>
  <c r="A425" i="8"/>
  <c r="A426" i="8"/>
  <c r="O426" i="8"/>
  <c r="U426" i="8" s="1"/>
  <c r="Q426" i="8"/>
  <c r="W426" i="8" s="1"/>
  <c r="E427" i="8"/>
  <c r="X427" i="8"/>
  <c r="B36" i="96"/>
  <c r="Q35" i="96" s="1"/>
  <c r="E36" i="96"/>
  <c r="E35" i="96" s="1"/>
  <c r="H36" i="96"/>
  <c r="R35" i="96" s="1"/>
  <c r="D36" i="96"/>
  <c r="D35" i="96" s="1"/>
  <c r="J36" i="96"/>
  <c r="J35" i="96" s="1"/>
  <c r="G36" i="96"/>
  <c r="G35" i="96" s="1"/>
  <c r="K31" i="96"/>
  <c r="B37" i="96"/>
  <c r="D37" i="96"/>
  <c r="E37" i="96"/>
  <c r="G37" i="96"/>
  <c r="H37" i="96"/>
  <c r="J37" i="96"/>
  <c r="B38" i="96"/>
  <c r="D38" i="96"/>
  <c r="E38" i="96"/>
  <c r="G38" i="96"/>
  <c r="H38" i="96"/>
  <c r="J38" i="96"/>
  <c r="B39" i="96"/>
  <c r="D39" i="96"/>
  <c r="E39" i="96"/>
  <c r="G39" i="96"/>
  <c r="H39" i="96"/>
  <c r="J39" i="96"/>
  <c r="B40" i="96"/>
  <c r="D40" i="96"/>
  <c r="E40" i="96"/>
  <c r="G40" i="96"/>
  <c r="H40" i="96"/>
  <c r="J40" i="96"/>
  <c r="B41" i="96"/>
  <c r="D41" i="96"/>
  <c r="E41" i="96"/>
  <c r="G41" i="96"/>
  <c r="H41" i="96"/>
  <c r="J41" i="96"/>
  <c r="B42" i="96"/>
  <c r="D42" i="96"/>
  <c r="E42" i="96"/>
  <c r="G42" i="96"/>
  <c r="H42" i="96"/>
  <c r="J42" i="96"/>
  <c r="B43" i="96"/>
  <c r="D43" i="96"/>
  <c r="E43" i="96"/>
  <c r="G43" i="96"/>
  <c r="H43" i="96"/>
  <c r="J43" i="96"/>
  <c r="B44" i="96"/>
  <c r="D44" i="96"/>
  <c r="E44" i="96"/>
  <c r="G44" i="96"/>
  <c r="H44" i="96"/>
  <c r="J44" i="96"/>
  <c r="B45" i="96"/>
  <c r="D45" i="96"/>
  <c r="E45" i="96"/>
  <c r="G45" i="96"/>
  <c r="H45" i="96"/>
  <c r="J45" i="96"/>
  <c r="B46" i="96"/>
  <c r="D46" i="96"/>
  <c r="E46" i="96"/>
  <c r="G46" i="96"/>
  <c r="H46" i="96"/>
  <c r="J46" i="96"/>
  <c r="B47" i="96"/>
  <c r="D47" i="96"/>
  <c r="E47" i="96"/>
  <c r="G47" i="96"/>
  <c r="H47" i="96"/>
  <c r="J47" i="96"/>
  <c r="B48" i="96"/>
  <c r="D48" i="96"/>
  <c r="E48" i="96"/>
  <c r="G48" i="96"/>
  <c r="H48" i="96"/>
  <c r="J48" i="96"/>
  <c r="B49" i="96"/>
  <c r="D49" i="96"/>
  <c r="E49" i="96"/>
  <c r="G49" i="96"/>
  <c r="H49" i="96"/>
  <c r="J49" i="96"/>
  <c r="B50" i="96"/>
  <c r="D50" i="96"/>
  <c r="E50" i="96"/>
  <c r="G50" i="96"/>
  <c r="H50" i="96"/>
  <c r="J50" i="96"/>
  <c r="B51" i="96"/>
  <c r="D51" i="96"/>
  <c r="E51" i="96"/>
  <c r="G51" i="96"/>
  <c r="H51" i="96"/>
  <c r="J51" i="96"/>
  <c r="B52" i="96"/>
  <c r="D52" i="96"/>
  <c r="E52" i="96"/>
  <c r="G52" i="96"/>
  <c r="H52" i="96"/>
  <c r="J52" i="96"/>
  <c r="B53" i="96"/>
  <c r="D53" i="96"/>
  <c r="E53" i="96"/>
  <c r="G53" i="96"/>
  <c r="H53" i="96"/>
  <c r="J53" i="96"/>
  <c r="B54" i="96"/>
  <c r="D54" i="96"/>
  <c r="E54" i="96"/>
  <c r="G54" i="96"/>
  <c r="H54" i="96"/>
  <c r="J54" i="96"/>
  <c r="B55" i="96"/>
  <c r="D55" i="96"/>
  <c r="E55" i="96"/>
  <c r="G55" i="96"/>
  <c r="H55" i="96"/>
  <c r="J55" i="96"/>
  <c r="B56" i="96"/>
  <c r="D56" i="96"/>
  <c r="E56" i="96"/>
  <c r="G56" i="96"/>
  <c r="H56" i="96"/>
  <c r="J56" i="96"/>
  <c r="B57" i="96"/>
  <c r="D57" i="96"/>
  <c r="E57" i="96"/>
  <c r="G57" i="96"/>
  <c r="H57" i="96"/>
  <c r="J57" i="96"/>
  <c r="B58" i="96"/>
  <c r="D58" i="96"/>
  <c r="E58" i="96"/>
  <c r="G58" i="96"/>
  <c r="H58" i="96"/>
  <c r="J58" i="96"/>
  <c r="B59" i="96"/>
  <c r="D59" i="96"/>
  <c r="E59" i="96"/>
  <c r="G59" i="96"/>
  <c r="H59" i="96"/>
  <c r="J59" i="96"/>
  <c r="B60" i="96"/>
  <c r="D60" i="96"/>
  <c r="E60" i="96"/>
  <c r="G60" i="96"/>
  <c r="H60" i="96"/>
  <c r="J60" i="96"/>
  <c r="B66" i="96"/>
  <c r="Q65" i="96" s="1"/>
  <c r="E66" i="96"/>
  <c r="E65" i="96" s="1"/>
  <c r="H66" i="96"/>
  <c r="H65" i="96" s="1"/>
  <c r="D66" i="96"/>
  <c r="Q66" i="96" s="1"/>
  <c r="J66" i="96"/>
  <c r="J65" i="96" s="1"/>
  <c r="G66" i="96"/>
  <c r="G65" i="96" s="1"/>
  <c r="K61" i="96"/>
  <c r="B67" i="96"/>
  <c r="D67" i="96"/>
  <c r="E67" i="96"/>
  <c r="G67" i="96"/>
  <c r="H67" i="96"/>
  <c r="J67" i="96"/>
  <c r="B68" i="96"/>
  <c r="D68" i="96"/>
  <c r="E68" i="96"/>
  <c r="G68" i="96"/>
  <c r="H68" i="96"/>
  <c r="J68" i="96"/>
  <c r="B69" i="96"/>
  <c r="D69" i="96"/>
  <c r="E69" i="96"/>
  <c r="G69" i="96"/>
  <c r="H69" i="96"/>
  <c r="J69" i="96"/>
  <c r="B70" i="96"/>
  <c r="D70" i="96"/>
  <c r="E70" i="96"/>
  <c r="G70" i="96"/>
  <c r="H70" i="96"/>
  <c r="J70" i="96"/>
  <c r="B71" i="96"/>
  <c r="D71" i="96"/>
  <c r="E71" i="96"/>
  <c r="G71" i="96"/>
  <c r="H71" i="96"/>
  <c r="J71" i="96"/>
  <c r="B72" i="96"/>
  <c r="D72" i="96"/>
  <c r="E72" i="96"/>
  <c r="G72" i="96"/>
  <c r="H72" i="96"/>
  <c r="J72" i="96"/>
  <c r="B73" i="96"/>
  <c r="D73" i="96"/>
  <c r="E73" i="96"/>
  <c r="G73" i="96"/>
  <c r="H73" i="96"/>
  <c r="J73" i="96"/>
  <c r="B74" i="96"/>
  <c r="D74" i="96"/>
  <c r="E74" i="96"/>
  <c r="G74" i="96"/>
  <c r="H74" i="96"/>
  <c r="J74" i="96"/>
  <c r="B75" i="96"/>
  <c r="D75" i="96"/>
  <c r="E75" i="96"/>
  <c r="G75" i="96"/>
  <c r="H75" i="96"/>
  <c r="J75" i="96"/>
  <c r="B76" i="96"/>
  <c r="D76" i="96"/>
  <c r="E76" i="96"/>
  <c r="G76" i="96"/>
  <c r="H76" i="96"/>
  <c r="J76" i="96"/>
  <c r="B77" i="96"/>
  <c r="D77" i="96"/>
  <c r="E77" i="96"/>
  <c r="G77" i="96"/>
  <c r="H77" i="96"/>
  <c r="J77" i="96"/>
  <c r="B78" i="96"/>
  <c r="D78" i="96"/>
  <c r="E78" i="96"/>
  <c r="G78" i="96"/>
  <c r="H78" i="96"/>
  <c r="J78" i="96"/>
  <c r="B79" i="96"/>
  <c r="D79" i="96"/>
  <c r="E79" i="96"/>
  <c r="G79" i="96"/>
  <c r="H79" i="96"/>
  <c r="J79" i="96"/>
  <c r="B80" i="96"/>
  <c r="D80" i="96"/>
  <c r="E80" i="96"/>
  <c r="G80" i="96"/>
  <c r="H80" i="96"/>
  <c r="J80" i="96"/>
  <c r="B81" i="96"/>
  <c r="D81" i="96"/>
  <c r="E81" i="96"/>
  <c r="G81" i="96"/>
  <c r="H81" i="96"/>
  <c r="J81" i="96"/>
  <c r="B82" i="96"/>
  <c r="D82" i="96"/>
  <c r="E82" i="96"/>
  <c r="G82" i="96"/>
  <c r="H82" i="96"/>
  <c r="J82" i="96"/>
  <c r="B83" i="96"/>
  <c r="D83" i="96"/>
  <c r="E83" i="96"/>
  <c r="G83" i="96"/>
  <c r="H83" i="96"/>
  <c r="J83" i="96"/>
  <c r="B84" i="96"/>
  <c r="D84" i="96"/>
  <c r="E84" i="96"/>
  <c r="G84" i="96"/>
  <c r="H84" i="96"/>
  <c r="J84" i="96"/>
  <c r="B85" i="96"/>
  <c r="D85" i="96"/>
  <c r="E85" i="96"/>
  <c r="G85" i="96"/>
  <c r="H85" i="96"/>
  <c r="J85" i="96"/>
  <c r="B86" i="96"/>
  <c r="D86" i="96"/>
  <c r="E86" i="96"/>
  <c r="G86" i="96"/>
  <c r="H86" i="96"/>
  <c r="J86" i="96"/>
  <c r="B87" i="96"/>
  <c r="D87" i="96"/>
  <c r="E87" i="96"/>
  <c r="G87" i="96"/>
  <c r="H87" i="96"/>
  <c r="J87" i="96"/>
  <c r="B88" i="96"/>
  <c r="D88" i="96"/>
  <c r="E88" i="96"/>
  <c r="G88" i="96"/>
  <c r="H88" i="96"/>
  <c r="J88" i="96"/>
  <c r="B89" i="96"/>
  <c r="D89" i="96"/>
  <c r="E89" i="96"/>
  <c r="G89" i="96"/>
  <c r="H89" i="96"/>
  <c r="J89" i="96"/>
  <c r="B90" i="96"/>
  <c r="D90" i="96"/>
  <c r="E90" i="96"/>
  <c r="G90" i="96"/>
  <c r="H90" i="96"/>
  <c r="J90" i="96"/>
  <c r="B96" i="96"/>
  <c r="Q95" i="96" s="1"/>
  <c r="H96" i="96"/>
  <c r="H95" i="96" s="1"/>
  <c r="D96" i="96"/>
  <c r="Q96" i="96" s="1"/>
  <c r="J96" i="96"/>
  <c r="J95" i="96" s="1"/>
  <c r="K91" i="96"/>
  <c r="E96" i="96"/>
  <c r="E95" i="96" s="1"/>
  <c r="G96" i="96"/>
  <c r="G95" i="96" s="1"/>
  <c r="B97" i="96"/>
  <c r="D97" i="96"/>
  <c r="E97" i="96"/>
  <c r="G97" i="96"/>
  <c r="H97" i="96"/>
  <c r="J97" i="96"/>
  <c r="B98" i="96"/>
  <c r="D98" i="96"/>
  <c r="E98" i="96"/>
  <c r="G98" i="96"/>
  <c r="H98" i="96"/>
  <c r="J98" i="96"/>
  <c r="B99" i="96"/>
  <c r="D99" i="96"/>
  <c r="E99" i="96"/>
  <c r="G99" i="96"/>
  <c r="H99" i="96"/>
  <c r="J99" i="96"/>
  <c r="B100" i="96"/>
  <c r="D100" i="96"/>
  <c r="E100" i="96"/>
  <c r="G100" i="96"/>
  <c r="H100" i="96"/>
  <c r="J100" i="96"/>
  <c r="B101" i="96"/>
  <c r="D101" i="96"/>
  <c r="E101" i="96"/>
  <c r="G101" i="96"/>
  <c r="H101" i="96"/>
  <c r="J101" i="96"/>
  <c r="B102" i="96"/>
  <c r="D102" i="96"/>
  <c r="E102" i="96"/>
  <c r="G102" i="96"/>
  <c r="H102" i="96"/>
  <c r="J102" i="96"/>
  <c r="B103" i="96"/>
  <c r="D103" i="96"/>
  <c r="E103" i="96"/>
  <c r="G103" i="96"/>
  <c r="H103" i="96"/>
  <c r="J103" i="96"/>
  <c r="B104" i="96"/>
  <c r="D104" i="96"/>
  <c r="E104" i="96"/>
  <c r="G104" i="96"/>
  <c r="H104" i="96"/>
  <c r="J104" i="96"/>
  <c r="B105" i="96"/>
  <c r="D105" i="96"/>
  <c r="E105" i="96"/>
  <c r="G105" i="96"/>
  <c r="H105" i="96"/>
  <c r="J105" i="96"/>
  <c r="B106" i="96"/>
  <c r="D106" i="96"/>
  <c r="E106" i="96"/>
  <c r="G106" i="96"/>
  <c r="H106" i="96"/>
  <c r="J106" i="96"/>
  <c r="B107" i="96"/>
  <c r="D107" i="96"/>
  <c r="E107" i="96"/>
  <c r="G107" i="96"/>
  <c r="H107" i="96"/>
  <c r="J107" i="96"/>
  <c r="B108" i="96"/>
  <c r="D108" i="96"/>
  <c r="E108" i="96"/>
  <c r="G108" i="96"/>
  <c r="H108" i="96"/>
  <c r="J108" i="96"/>
  <c r="B109" i="96"/>
  <c r="D109" i="96"/>
  <c r="E109" i="96"/>
  <c r="G109" i="96"/>
  <c r="H109" i="96"/>
  <c r="J109" i="96"/>
  <c r="B110" i="96"/>
  <c r="D110" i="96"/>
  <c r="E110" i="96"/>
  <c r="G110" i="96"/>
  <c r="H110" i="96"/>
  <c r="J110" i="96"/>
  <c r="B111" i="96"/>
  <c r="D111" i="96"/>
  <c r="E111" i="96"/>
  <c r="G111" i="96"/>
  <c r="H111" i="96"/>
  <c r="J111" i="96"/>
  <c r="B112" i="96"/>
  <c r="D112" i="96"/>
  <c r="E112" i="96"/>
  <c r="G112" i="96"/>
  <c r="H112" i="96"/>
  <c r="J112" i="96"/>
  <c r="B113" i="96"/>
  <c r="D113" i="96"/>
  <c r="E113" i="96"/>
  <c r="G113" i="96"/>
  <c r="H113" i="96"/>
  <c r="J113" i="96"/>
  <c r="B114" i="96"/>
  <c r="D114" i="96"/>
  <c r="E114" i="96"/>
  <c r="G114" i="96"/>
  <c r="H114" i="96"/>
  <c r="J114" i="96"/>
  <c r="B115" i="96"/>
  <c r="D115" i="96"/>
  <c r="E115" i="96"/>
  <c r="G115" i="96"/>
  <c r="H115" i="96"/>
  <c r="J115" i="96"/>
  <c r="B116" i="96"/>
  <c r="D116" i="96"/>
  <c r="E116" i="96"/>
  <c r="G116" i="96"/>
  <c r="H116" i="96"/>
  <c r="J116" i="96"/>
  <c r="B117" i="96"/>
  <c r="D117" i="96"/>
  <c r="E117" i="96"/>
  <c r="G117" i="96"/>
  <c r="H117" i="96"/>
  <c r="J117" i="96"/>
  <c r="B118" i="96"/>
  <c r="D118" i="96"/>
  <c r="E118" i="96"/>
  <c r="G118" i="96"/>
  <c r="H118" i="96"/>
  <c r="J118" i="96"/>
  <c r="B119" i="96"/>
  <c r="D119" i="96"/>
  <c r="E119" i="96"/>
  <c r="G119" i="96"/>
  <c r="H119" i="96"/>
  <c r="J119" i="96"/>
  <c r="B120" i="96"/>
  <c r="D120" i="96"/>
  <c r="E120" i="96"/>
  <c r="G120" i="96"/>
  <c r="H120" i="96"/>
  <c r="J120" i="96"/>
  <c r="B126" i="96"/>
  <c r="H126" i="96"/>
  <c r="H125" i="96" s="1"/>
  <c r="D126" i="96"/>
  <c r="J126" i="96"/>
  <c r="J125" i="96" s="1"/>
  <c r="K121" i="96"/>
  <c r="E126" i="96"/>
  <c r="E125" i="96" s="1"/>
  <c r="G126" i="96"/>
  <c r="G125" i="96" s="1"/>
  <c r="B127" i="96"/>
  <c r="D127" i="96"/>
  <c r="E127" i="96"/>
  <c r="G127" i="96"/>
  <c r="H127" i="96"/>
  <c r="J127" i="96"/>
  <c r="B128" i="96"/>
  <c r="D128" i="96"/>
  <c r="E128" i="96"/>
  <c r="G128" i="96"/>
  <c r="H128" i="96"/>
  <c r="J128" i="96"/>
  <c r="B129" i="96"/>
  <c r="D129" i="96"/>
  <c r="E129" i="96"/>
  <c r="G129" i="96"/>
  <c r="H129" i="96"/>
  <c r="J129" i="96"/>
  <c r="B130" i="96"/>
  <c r="D130" i="96"/>
  <c r="E130" i="96"/>
  <c r="G130" i="96"/>
  <c r="H130" i="96"/>
  <c r="J130" i="96"/>
  <c r="B131" i="96"/>
  <c r="D131" i="96"/>
  <c r="E131" i="96"/>
  <c r="G131" i="96"/>
  <c r="H131" i="96"/>
  <c r="J131" i="96"/>
  <c r="B132" i="96"/>
  <c r="D132" i="96"/>
  <c r="E132" i="96"/>
  <c r="G132" i="96"/>
  <c r="H132" i="96"/>
  <c r="J132" i="96"/>
  <c r="B133" i="96"/>
  <c r="D133" i="96"/>
  <c r="E133" i="96"/>
  <c r="G133" i="96"/>
  <c r="H133" i="96"/>
  <c r="J133" i="96"/>
  <c r="B134" i="96"/>
  <c r="D134" i="96"/>
  <c r="E134" i="96"/>
  <c r="G134" i="96"/>
  <c r="H134" i="96"/>
  <c r="J134" i="96"/>
  <c r="B135" i="96"/>
  <c r="D135" i="96"/>
  <c r="E135" i="96"/>
  <c r="G135" i="96"/>
  <c r="H135" i="96"/>
  <c r="J135" i="96"/>
  <c r="B136" i="96"/>
  <c r="D136" i="96"/>
  <c r="E136" i="96"/>
  <c r="G136" i="96"/>
  <c r="H136" i="96"/>
  <c r="J136" i="96"/>
  <c r="B137" i="96"/>
  <c r="D137" i="96"/>
  <c r="E137" i="96"/>
  <c r="G137" i="96"/>
  <c r="H137" i="96"/>
  <c r="J137" i="96"/>
  <c r="B138" i="96"/>
  <c r="D138" i="96"/>
  <c r="E138" i="96"/>
  <c r="G138" i="96"/>
  <c r="H138" i="96"/>
  <c r="J138" i="96"/>
  <c r="B139" i="96"/>
  <c r="D139" i="96"/>
  <c r="E139" i="96"/>
  <c r="G139" i="96"/>
  <c r="H139" i="96"/>
  <c r="J139" i="96"/>
  <c r="B140" i="96"/>
  <c r="D140" i="96"/>
  <c r="E140" i="96"/>
  <c r="G140" i="96"/>
  <c r="H140" i="96"/>
  <c r="J140" i="96"/>
  <c r="B141" i="96"/>
  <c r="D141" i="96"/>
  <c r="E141" i="96"/>
  <c r="G141" i="96"/>
  <c r="H141" i="96"/>
  <c r="J141" i="96"/>
  <c r="B142" i="96"/>
  <c r="D142" i="96"/>
  <c r="E142" i="96"/>
  <c r="G142" i="96"/>
  <c r="H142" i="96"/>
  <c r="J142" i="96"/>
  <c r="B143" i="96"/>
  <c r="D143" i="96"/>
  <c r="E143" i="96"/>
  <c r="G143" i="96"/>
  <c r="H143" i="96"/>
  <c r="J143" i="96"/>
  <c r="B144" i="96"/>
  <c r="D144" i="96"/>
  <c r="E144" i="96"/>
  <c r="G144" i="96"/>
  <c r="H144" i="96"/>
  <c r="J144" i="96"/>
  <c r="B145" i="96"/>
  <c r="D145" i="96"/>
  <c r="E145" i="96"/>
  <c r="G145" i="96"/>
  <c r="H145" i="96"/>
  <c r="J145" i="96"/>
  <c r="B146" i="96"/>
  <c r="D146" i="96"/>
  <c r="E146" i="96"/>
  <c r="G146" i="96"/>
  <c r="H146" i="96"/>
  <c r="J146" i="96"/>
  <c r="B147" i="96"/>
  <c r="D147" i="96"/>
  <c r="E147" i="96"/>
  <c r="G147" i="96"/>
  <c r="H147" i="96"/>
  <c r="J147" i="96"/>
  <c r="B148" i="96"/>
  <c r="D148" i="96"/>
  <c r="E148" i="96"/>
  <c r="G148" i="96"/>
  <c r="H148" i="96"/>
  <c r="J148" i="96"/>
  <c r="B149" i="96"/>
  <c r="D149" i="96"/>
  <c r="E149" i="96"/>
  <c r="G149" i="96"/>
  <c r="H149" i="96"/>
  <c r="J149" i="96"/>
  <c r="B150" i="96"/>
  <c r="D150" i="96"/>
  <c r="E150" i="96"/>
  <c r="G150" i="96"/>
  <c r="H150" i="96"/>
  <c r="J150" i="96"/>
  <c r="B156" i="96"/>
  <c r="B155" i="96" s="1"/>
  <c r="H156" i="96"/>
  <c r="D156" i="96"/>
  <c r="Q156" i="96" s="1"/>
  <c r="J156" i="96"/>
  <c r="K151" i="96"/>
  <c r="E156" i="96"/>
  <c r="E155" i="96" s="1"/>
  <c r="G156" i="96"/>
  <c r="G155" i="96" s="1"/>
  <c r="B157" i="96"/>
  <c r="D157" i="96"/>
  <c r="E157" i="96"/>
  <c r="G157" i="96"/>
  <c r="H157" i="96"/>
  <c r="J157" i="96"/>
  <c r="B158" i="96"/>
  <c r="D158" i="96"/>
  <c r="E158" i="96"/>
  <c r="G158" i="96"/>
  <c r="H158" i="96"/>
  <c r="J158" i="96"/>
  <c r="B159" i="96"/>
  <c r="D159" i="96"/>
  <c r="E159" i="96"/>
  <c r="G159" i="96"/>
  <c r="H159" i="96"/>
  <c r="J159" i="96"/>
  <c r="B160" i="96"/>
  <c r="D160" i="96"/>
  <c r="E160" i="96"/>
  <c r="G160" i="96"/>
  <c r="H160" i="96"/>
  <c r="J160" i="96"/>
  <c r="B161" i="96"/>
  <c r="D161" i="96"/>
  <c r="E161" i="96"/>
  <c r="G161" i="96"/>
  <c r="H161" i="96"/>
  <c r="J161" i="96"/>
  <c r="B162" i="96"/>
  <c r="D162" i="96"/>
  <c r="E162" i="96"/>
  <c r="G162" i="96"/>
  <c r="H162" i="96"/>
  <c r="J162" i="96"/>
  <c r="B163" i="96"/>
  <c r="D163" i="96"/>
  <c r="E163" i="96"/>
  <c r="G163" i="96"/>
  <c r="H163" i="96"/>
  <c r="J163" i="96"/>
  <c r="B164" i="96"/>
  <c r="D164" i="96"/>
  <c r="E164" i="96"/>
  <c r="G164" i="96"/>
  <c r="H164" i="96"/>
  <c r="J164" i="96"/>
  <c r="B165" i="96"/>
  <c r="D165" i="96"/>
  <c r="E165" i="96"/>
  <c r="G165" i="96"/>
  <c r="H165" i="96"/>
  <c r="J165" i="96"/>
  <c r="B166" i="96"/>
  <c r="D166" i="96"/>
  <c r="E166" i="96"/>
  <c r="G166" i="96"/>
  <c r="H166" i="96"/>
  <c r="J166" i="96"/>
  <c r="B167" i="96"/>
  <c r="D167" i="96"/>
  <c r="E167" i="96"/>
  <c r="G167" i="96"/>
  <c r="H167" i="96"/>
  <c r="J167" i="96"/>
  <c r="B168" i="96"/>
  <c r="D168" i="96"/>
  <c r="E168" i="96"/>
  <c r="G168" i="96"/>
  <c r="H168" i="96"/>
  <c r="J168" i="96"/>
  <c r="B169" i="96"/>
  <c r="D169" i="96"/>
  <c r="E169" i="96"/>
  <c r="G169" i="96"/>
  <c r="H169" i="96"/>
  <c r="J169" i="96"/>
  <c r="B170" i="96"/>
  <c r="D170" i="96"/>
  <c r="E170" i="96"/>
  <c r="G170" i="96"/>
  <c r="H170" i="96"/>
  <c r="J170" i="96"/>
  <c r="B171" i="96"/>
  <c r="D171" i="96"/>
  <c r="E171" i="96"/>
  <c r="G171" i="96"/>
  <c r="H171" i="96"/>
  <c r="J171" i="96"/>
  <c r="B172" i="96"/>
  <c r="D172" i="96"/>
  <c r="E172" i="96"/>
  <c r="G172" i="96"/>
  <c r="H172" i="96"/>
  <c r="J172" i="96"/>
  <c r="B173" i="96"/>
  <c r="D173" i="96"/>
  <c r="E173" i="96"/>
  <c r="G173" i="96"/>
  <c r="H173" i="96"/>
  <c r="J173" i="96"/>
  <c r="B174" i="96"/>
  <c r="D174" i="96"/>
  <c r="E174" i="96"/>
  <c r="G174" i="96"/>
  <c r="H174" i="96"/>
  <c r="J174" i="96"/>
  <c r="B175" i="96"/>
  <c r="D175" i="96"/>
  <c r="E175" i="96"/>
  <c r="G175" i="96"/>
  <c r="H175" i="96"/>
  <c r="J175" i="96"/>
  <c r="B176" i="96"/>
  <c r="D176" i="96"/>
  <c r="E176" i="96"/>
  <c r="G176" i="96"/>
  <c r="H176" i="96"/>
  <c r="J176" i="96"/>
  <c r="B177" i="96"/>
  <c r="D177" i="96"/>
  <c r="E177" i="96"/>
  <c r="G177" i="96"/>
  <c r="H177" i="96"/>
  <c r="J177" i="96"/>
  <c r="B178" i="96"/>
  <c r="D178" i="96"/>
  <c r="E178" i="96"/>
  <c r="G178" i="96"/>
  <c r="H178" i="96"/>
  <c r="J178" i="96"/>
  <c r="B179" i="96"/>
  <c r="D179" i="96"/>
  <c r="E179" i="96"/>
  <c r="G179" i="96"/>
  <c r="H179" i="96"/>
  <c r="J179" i="96"/>
  <c r="B180" i="96"/>
  <c r="D180" i="96"/>
  <c r="E180" i="96"/>
  <c r="G180" i="96"/>
  <c r="H180" i="96"/>
  <c r="J180" i="96"/>
  <c r="B186" i="96"/>
  <c r="Q185" i="96" s="1"/>
  <c r="H186" i="96"/>
  <c r="D186" i="96"/>
  <c r="Q186" i="96" s="1"/>
  <c r="J186" i="96"/>
  <c r="J185" i="96" s="1"/>
  <c r="K181" i="96"/>
  <c r="E186" i="96"/>
  <c r="E185" i="96" s="1"/>
  <c r="G186" i="96"/>
  <c r="G185" i="96" s="1"/>
  <c r="B187" i="96"/>
  <c r="D187" i="96"/>
  <c r="E187" i="96"/>
  <c r="G187" i="96"/>
  <c r="H187" i="96"/>
  <c r="J187" i="96"/>
  <c r="B188" i="96"/>
  <c r="D188" i="96"/>
  <c r="E188" i="96"/>
  <c r="G188" i="96"/>
  <c r="H188" i="96"/>
  <c r="J188" i="96"/>
  <c r="B189" i="96"/>
  <c r="D189" i="96"/>
  <c r="E189" i="96"/>
  <c r="G189" i="96"/>
  <c r="H189" i="96"/>
  <c r="J189" i="96"/>
  <c r="B190" i="96"/>
  <c r="D190" i="96"/>
  <c r="E190" i="96"/>
  <c r="G190" i="96"/>
  <c r="H190" i="96"/>
  <c r="J190" i="96"/>
  <c r="B191" i="96"/>
  <c r="D191" i="96"/>
  <c r="E191" i="96"/>
  <c r="G191" i="96"/>
  <c r="H191" i="96"/>
  <c r="J191" i="96"/>
  <c r="B192" i="96"/>
  <c r="D192" i="96"/>
  <c r="E192" i="96"/>
  <c r="G192" i="96"/>
  <c r="H192" i="96"/>
  <c r="J192" i="96"/>
  <c r="B193" i="96"/>
  <c r="D193" i="96"/>
  <c r="E193" i="96"/>
  <c r="G193" i="96"/>
  <c r="H193" i="96"/>
  <c r="J193" i="96"/>
  <c r="B194" i="96"/>
  <c r="D194" i="96"/>
  <c r="E194" i="96"/>
  <c r="G194" i="96"/>
  <c r="H194" i="96"/>
  <c r="J194" i="96"/>
  <c r="B195" i="96"/>
  <c r="D195" i="96"/>
  <c r="E195" i="96"/>
  <c r="G195" i="96"/>
  <c r="H195" i="96"/>
  <c r="J195" i="96"/>
  <c r="B196" i="96"/>
  <c r="D196" i="96"/>
  <c r="E196" i="96"/>
  <c r="G196" i="96"/>
  <c r="H196" i="96"/>
  <c r="J196" i="96"/>
  <c r="B197" i="96"/>
  <c r="D197" i="96"/>
  <c r="E197" i="96"/>
  <c r="G197" i="96"/>
  <c r="H197" i="96"/>
  <c r="J197" i="96"/>
  <c r="B198" i="96"/>
  <c r="D198" i="96"/>
  <c r="E198" i="96"/>
  <c r="G198" i="96"/>
  <c r="H198" i="96"/>
  <c r="J198" i="96"/>
  <c r="B199" i="96"/>
  <c r="D199" i="96"/>
  <c r="E199" i="96"/>
  <c r="G199" i="96"/>
  <c r="H199" i="96"/>
  <c r="J199" i="96"/>
  <c r="M199" i="96" s="1"/>
  <c r="B200" i="96"/>
  <c r="D200" i="96"/>
  <c r="E200" i="96"/>
  <c r="G200" i="96"/>
  <c r="H200" i="96"/>
  <c r="J200" i="96"/>
  <c r="B201" i="96"/>
  <c r="D201" i="96"/>
  <c r="E201" i="96"/>
  <c r="G201" i="96"/>
  <c r="H201" i="96"/>
  <c r="K201" i="96" s="1"/>
  <c r="J201" i="96"/>
  <c r="B202" i="96"/>
  <c r="D202" i="96"/>
  <c r="E202" i="96"/>
  <c r="G202" i="96"/>
  <c r="H202" i="96"/>
  <c r="J202" i="96"/>
  <c r="B203" i="96"/>
  <c r="D203" i="96"/>
  <c r="E203" i="96"/>
  <c r="G203" i="96"/>
  <c r="H203" i="96"/>
  <c r="J203" i="96"/>
  <c r="B204" i="96"/>
  <c r="D204" i="96"/>
  <c r="E204" i="96"/>
  <c r="G204" i="96"/>
  <c r="H204" i="96"/>
  <c r="J204" i="96"/>
  <c r="B205" i="96"/>
  <c r="D205" i="96"/>
  <c r="E205" i="96"/>
  <c r="G205" i="96"/>
  <c r="H205" i="96"/>
  <c r="J205" i="96"/>
  <c r="B206" i="96"/>
  <c r="D206" i="96"/>
  <c r="E206" i="96"/>
  <c r="G206" i="96"/>
  <c r="H206" i="96"/>
  <c r="J206" i="96"/>
  <c r="B207" i="96"/>
  <c r="D207" i="96"/>
  <c r="E207" i="96"/>
  <c r="G207" i="96"/>
  <c r="H207" i="96"/>
  <c r="J207" i="96"/>
  <c r="B208" i="96"/>
  <c r="D208" i="96"/>
  <c r="E208" i="96"/>
  <c r="G208" i="96"/>
  <c r="H208" i="96"/>
  <c r="J208" i="96"/>
  <c r="B209" i="96"/>
  <c r="D209" i="96"/>
  <c r="E209" i="96"/>
  <c r="G209" i="96"/>
  <c r="H209" i="96"/>
  <c r="J209" i="96"/>
  <c r="B210" i="96"/>
  <c r="D210" i="96"/>
  <c r="E210" i="96"/>
  <c r="G210" i="96"/>
  <c r="H210" i="96"/>
  <c r="J210" i="96"/>
  <c r="B216" i="96"/>
  <c r="H216" i="96"/>
  <c r="H215" i="96" s="1"/>
  <c r="D216" i="96"/>
  <c r="J216" i="96"/>
  <c r="J215" i="96" s="1"/>
  <c r="K211" i="96"/>
  <c r="E216" i="96"/>
  <c r="E215" i="96" s="1"/>
  <c r="G216" i="96"/>
  <c r="G215" i="96" s="1"/>
  <c r="B217" i="96"/>
  <c r="D217" i="96"/>
  <c r="E217" i="96"/>
  <c r="G217" i="96"/>
  <c r="H217" i="96"/>
  <c r="J217" i="96"/>
  <c r="B218" i="96"/>
  <c r="D218" i="96"/>
  <c r="E218" i="96"/>
  <c r="G218" i="96"/>
  <c r="H218" i="96"/>
  <c r="J218" i="96"/>
  <c r="B219" i="96"/>
  <c r="D219" i="96"/>
  <c r="E219" i="96"/>
  <c r="G219" i="96"/>
  <c r="H219" i="96"/>
  <c r="J219" i="96"/>
  <c r="B220" i="96"/>
  <c r="D220" i="96"/>
  <c r="E220" i="96"/>
  <c r="G220" i="96"/>
  <c r="H220" i="96"/>
  <c r="J220" i="96"/>
  <c r="B221" i="96"/>
  <c r="D221" i="96"/>
  <c r="E221" i="96"/>
  <c r="G221" i="96"/>
  <c r="H221" i="96"/>
  <c r="J221" i="96"/>
  <c r="B222" i="96"/>
  <c r="D222" i="96"/>
  <c r="E222" i="96"/>
  <c r="G222" i="96"/>
  <c r="H222" i="96"/>
  <c r="J222" i="96"/>
  <c r="B223" i="96"/>
  <c r="D223" i="96"/>
  <c r="E223" i="96"/>
  <c r="G223" i="96"/>
  <c r="H223" i="96"/>
  <c r="J223" i="96"/>
  <c r="B224" i="96"/>
  <c r="D224" i="96"/>
  <c r="E224" i="96"/>
  <c r="G224" i="96"/>
  <c r="H224" i="96"/>
  <c r="J224" i="96"/>
  <c r="B225" i="96"/>
  <c r="D225" i="96"/>
  <c r="E225" i="96"/>
  <c r="G225" i="96"/>
  <c r="H225" i="96"/>
  <c r="J225" i="96"/>
  <c r="B226" i="96"/>
  <c r="D226" i="96"/>
  <c r="E226" i="96"/>
  <c r="G226" i="96"/>
  <c r="H226" i="96"/>
  <c r="J226" i="96"/>
  <c r="B227" i="96"/>
  <c r="D227" i="96"/>
  <c r="E227" i="96"/>
  <c r="G227" i="96"/>
  <c r="H227" i="96"/>
  <c r="J227" i="96"/>
  <c r="B228" i="96"/>
  <c r="D228" i="96"/>
  <c r="E228" i="96"/>
  <c r="G228" i="96"/>
  <c r="H228" i="96"/>
  <c r="J228" i="96"/>
  <c r="B229" i="96"/>
  <c r="D229" i="96"/>
  <c r="E229" i="96"/>
  <c r="G229" i="96"/>
  <c r="H229" i="96"/>
  <c r="J229" i="96"/>
  <c r="B230" i="96"/>
  <c r="D230" i="96"/>
  <c r="E230" i="96"/>
  <c r="G230" i="96"/>
  <c r="H230" i="96"/>
  <c r="J230" i="96"/>
  <c r="B231" i="96"/>
  <c r="D231" i="96"/>
  <c r="E231" i="96"/>
  <c r="G231" i="96"/>
  <c r="H231" i="96"/>
  <c r="J231" i="96"/>
  <c r="B232" i="96"/>
  <c r="D232" i="96"/>
  <c r="E232" i="96"/>
  <c r="G232" i="96"/>
  <c r="H232" i="96"/>
  <c r="J232" i="96"/>
  <c r="B233" i="96"/>
  <c r="D233" i="96"/>
  <c r="E233" i="96"/>
  <c r="G233" i="96"/>
  <c r="H233" i="96"/>
  <c r="J233" i="96"/>
  <c r="B234" i="96"/>
  <c r="D234" i="96"/>
  <c r="E234" i="96"/>
  <c r="G234" i="96"/>
  <c r="H234" i="96"/>
  <c r="J234" i="96"/>
  <c r="B235" i="96"/>
  <c r="D235" i="96"/>
  <c r="E235" i="96"/>
  <c r="G235" i="96"/>
  <c r="H235" i="96"/>
  <c r="J235" i="96"/>
  <c r="B236" i="96"/>
  <c r="D236" i="96"/>
  <c r="E236" i="96"/>
  <c r="G236" i="96"/>
  <c r="H236" i="96"/>
  <c r="J236" i="96"/>
  <c r="B237" i="96"/>
  <c r="D237" i="96"/>
  <c r="E237" i="96"/>
  <c r="G237" i="96"/>
  <c r="H237" i="96"/>
  <c r="J237" i="96"/>
  <c r="B238" i="96"/>
  <c r="D238" i="96"/>
  <c r="E238" i="96"/>
  <c r="G238" i="96"/>
  <c r="H238" i="96"/>
  <c r="J238" i="96"/>
  <c r="B239" i="96"/>
  <c r="D239" i="96"/>
  <c r="E239" i="96"/>
  <c r="G239" i="96"/>
  <c r="H239" i="96"/>
  <c r="J239" i="96"/>
  <c r="B240" i="96"/>
  <c r="D240" i="96"/>
  <c r="E240" i="96"/>
  <c r="G240" i="96"/>
  <c r="H240" i="96"/>
  <c r="J240" i="96"/>
  <c r="B246" i="96"/>
  <c r="Q245" i="96" s="1"/>
  <c r="H246" i="96"/>
  <c r="D246" i="96"/>
  <c r="Q246" i="96" s="1"/>
  <c r="J246" i="96"/>
  <c r="K241" i="96"/>
  <c r="E246" i="96"/>
  <c r="E245" i="96" s="1"/>
  <c r="G246" i="96"/>
  <c r="G245" i="96" s="1"/>
  <c r="B247" i="96"/>
  <c r="D247" i="96"/>
  <c r="E247" i="96"/>
  <c r="G247" i="96"/>
  <c r="H247" i="96"/>
  <c r="J247" i="96"/>
  <c r="B248" i="96"/>
  <c r="D248" i="96"/>
  <c r="E248" i="96"/>
  <c r="G248" i="96"/>
  <c r="H248" i="96"/>
  <c r="J248" i="96"/>
  <c r="B249" i="96"/>
  <c r="D249" i="96"/>
  <c r="E249" i="96"/>
  <c r="G249" i="96"/>
  <c r="H249" i="96"/>
  <c r="J249" i="96"/>
  <c r="B250" i="96"/>
  <c r="D250" i="96"/>
  <c r="E250" i="96"/>
  <c r="G250" i="96"/>
  <c r="H250" i="96"/>
  <c r="J250" i="96"/>
  <c r="B251" i="96"/>
  <c r="D251" i="96"/>
  <c r="E251" i="96"/>
  <c r="G251" i="96"/>
  <c r="H251" i="96"/>
  <c r="J251" i="96"/>
  <c r="B252" i="96"/>
  <c r="D252" i="96"/>
  <c r="E252" i="96"/>
  <c r="G252" i="96"/>
  <c r="H252" i="96"/>
  <c r="J252" i="96"/>
  <c r="B253" i="96"/>
  <c r="D253" i="96"/>
  <c r="E253" i="96"/>
  <c r="G253" i="96"/>
  <c r="H253" i="96"/>
  <c r="J253" i="96"/>
  <c r="B254" i="96"/>
  <c r="D254" i="96"/>
  <c r="E254" i="96"/>
  <c r="G254" i="96"/>
  <c r="H254" i="96"/>
  <c r="J254" i="96"/>
  <c r="B255" i="96"/>
  <c r="D255" i="96"/>
  <c r="E255" i="96"/>
  <c r="G255" i="96"/>
  <c r="H255" i="96"/>
  <c r="J255" i="96"/>
  <c r="B256" i="96"/>
  <c r="D256" i="96"/>
  <c r="E256" i="96"/>
  <c r="G256" i="96"/>
  <c r="H256" i="96"/>
  <c r="J256" i="96"/>
  <c r="B257" i="96"/>
  <c r="D257" i="96"/>
  <c r="E257" i="96"/>
  <c r="G257" i="96"/>
  <c r="H257" i="96"/>
  <c r="J257" i="96"/>
  <c r="B258" i="96"/>
  <c r="D258" i="96"/>
  <c r="E258" i="96"/>
  <c r="G258" i="96"/>
  <c r="H258" i="96"/>
  <c r="J258" i="96"/>
  <c r="B259" i="96"/>
  <c r="D259" i="96"/>
  <c r="E259" i="96"/>
  <c r="G259" i="96"/>
  <c r="H259" i="96"/>
  <c r="J259" i="96"/>
  <c r="B260" i="96"/>
  <c r="D260" i="96"/>
  <c r="E260" i="96"/>
  <c r="G260" i="96"/>
  <c r="H260" i="96"/>
  <c r="J260" i="96"/>
  <c r="B261" i="96"/>
  <c r="D261" i="96"/>
  <c r="E261" i="96"/>
  <c r="G261" i="96"/>
  <c r="H261" i="96"/>
  <c r="J261" i="96"/>
  <c r="B262" i="96"/>
  <c r="D262" i="96"/>
  <c r="E262" i="96"/>
  <c r="G262" i="96"/>
  <c r="H262" i="96"/>
  <c r="J262" i="96"/>
  <c r="B263" i="96"/>
  <c r="D263" i="96"/>
  <c r="E263" i="96"/>
  <c r="G263" i="96"/>
  <c r="H263" i="96"/>
  <c r="J263" i="96"/>
  <c r="B264" i="96"/>
  <c r="D264" i="96"/>
  <c r="E264" i="96"/>
  <c r="G264" i="96"/>
  <c r="H264" i="96"/>
  <c r="J264" i="96"/>
  <c r="B265" i="96"/>
  <c r="D265" i="96"/>
  <c r="E265" i="96"/>
  <c r="G265" i="96"/>
  <c r="H265" i="96"/>
  <c r="J265" i="96"/>
  <c r="B266" i="96"/>
  <c r="D266" i="96"/>
  <c r="E266" i="96"/>
  <c r="G266" i="96"/>
  <c r="H266" i="96"/>
  <c r="J266" i="96"/>
  <c r="B267" i="96"/>
  <c r="D267" i="96"/>
  <c r="E267" i="96"/>
  <c r="G267" i="96"/>
  <c r="H267" i="96"/>
  <c r="J267" i="96"/>
  <c r="B268" i="96"/>
  <c r="D268" i="96"/>
  <c r="E268" i="96"/>
  <c r="G268" i="96"/>
  <c r="H268" i="96"/>
  <c r="J268" i="96"/>
  <c r="B269" i="96"/>
  <c r="D269" i="96"/>
  <c r="E269" i="96"/>
  <c r="G269" i="96"/>
  <c r="H269" i="96"/>
  <c r="J269" i="96"/>
  <c r="B270" i="96"/>
  <c r="D270" i="96"/>
  <c r="E270" i="96"/>
  <c r="G270" i="96"/>
  <c r="H270" i="96"/>
  <c r="J270" i="96"/>
  <c r="R185" i="10"/>
  <c r="U185" i="10" s="1"/>
  <c r="R72" i="10"/>
  <c r="T167" i="9"/>
  <c r="W167" i="9" s="1"/>
  <c r="R101" i="9"/>
  <c r="U101" i="9" s="1"/>
  <c r="T348" i="10"/>
  <c r="W348" i="10" s="1"/>
  <c r="T271" i="10"/>
  <c r="W271" i="10" s="1"/>
  <c r="T223" i="11"/>
  <c r="W223" i="11" s="1"/>
  <c r="T139" i="11"/>
  <c r="W139" i="11" s="1"/>
  <c r="T65" i="11"/>
  <c r="W65" i="11" s="1"/>
  <c r="T387" i="12"/>
  <c r="W387" i="12" s="1"/>
  <c r="T395" i="12"/>
  <c r="W395" i="12" s="1"/>
  <c r="R398" i="12"/>
  <c r="U398" i="12" s="1"/>
  <c r="T345" i="12"/>
  <c r="W345" i="12" s="1"/>
  <c r="R352" i="12"/>
  <c r="U352" i="12" s="1"/>
  <c r="T355" i="12"/>
  <c r="W355" i="12" s="1"/>
  <c r="T359" i="12"/>
  <c r="W359" i="12" s="1"/>
  <c r="O364" i="12"/>
  <c r="T240" i="11"/>
  <c r="W240" i="11" s="1"/>
  <c r="T204" i="11"/>
  <c r="W204" i="11" s="1"/>
  <c r="T166" i="11"/>
  <c r="W166" i="11" s="1"/>
  <c r="T126" i="11"/>
  <c r="W126" i="11" s="1"/>
  <c r="T32" i="11"/>
  <c r="W32" i="11" s="1"/>
  <c r="T412" i="12"/>
  <c r="W412" i="12" s="1"/>
  <c r="R413" i="12"/>
  <c r="U413" i="12" s="1"/>
  <c r="T416" i="12"/>
  <c r="R419" i="12"/>
  <c r="T420" i="12"/>
  <c r="R365" i="12"/>
  <c r="R369" i="12"/>
  <c r="U369" i="12" s="1"/>
  <c r="T370" i="12"/>
  <c r="W370" i="12" s="1"/>
  <c r="R373" i="12"/>
  <c r="U373" i="12" s="1"/>
  <c r="R377" i="12"/>
  <c r="U377" i="12" s="1"/>
  <c r="T378" i="12"/>
  <c r="W378" i="12" s="1"/>
  <c r="R323" i="12"/>
  <c r="R325" i="12"/>
  <c r="U325" i="12" s="1"/>
  <c r="R327" i="12"/>
  <c r="U327" i="12" s="1"/>
  <c r="T328" i="12"/>
  <c r="W328" i="12" s="1"/>
  <c r="R331" i="12"/>
  <c r="U331" i="12" s="1"/>
  <c r="T332" i="12"/>
  <c r="W332" i="12" s="1"/>
  <c r="T334" i="12"/>
  <c r="W334" i="12" s="1"/>
  <c r="T336" i="12"/>
  <c r="W336" i="12" s="1"/>
  <c r="T338" i="12"/>
  <c r="W338" i="12" s="1"/>
  <c r="T281" i="12"/>
  <c r="R284" i="12"/>
  <c r="U284" i="12" s="1"/>
  <c r="T285" i="12"/>
  <c r="W285" i="12" s="1"/>
  <c r="R286" i="12"/>
  <c r="U286" i="12" s="1"/>
  <c r="T289" i="12"/>
  <c r="W289" i="12" s="1"/>
  <c r="R290" i="12"/>
  <c r="U290" i="12" s="1"/>
  <c r="R292" i="12"/>
  <c r="U292" i="12" s="1"/>
  <c r="T295" i="12"/>
  <c r="W295" i="12" s="1"/>
  <c r="R296" i="12"/>
  <c r="U296" i="12" s="1"/>
  <c r="T302" i="12"/>
  <c r="R305" i="12"/>
  <c r="U305" i="12" s="1"/>
  <c r="T306" i="12"/>
  <c r="W306" i="12" s="1"/>
  <c r="R308" i="12"/>
  <c r="U308" i="12" s="1"/>
  <c r="R310" i="12"/>
  <c r="U310" i="12" s="1"/>
  <c r="R312" i="12"/>
  <c r="U312" i="12" s="1"/>
  <c r="T313" i="12"/>
  <c r="W313" i="12" s="1"/>
  <c r="R316" i="12"/>
  <c r="U316" i="12" s="1"/>
  <c r="T317" i="12"/>
  <c r="W317" i="12" s="1"/>
  <c r="T56" i="10"/>
  <c r="W56" i="10" s="1"/>
  <c r="R38" i="10"/>
  <c r="U38" i="10" s="1"/>
  <c r="R21" i="10"/>
  <c r="U21" i="10" s="1"/>
  <c r="R416" i="11"/>
  <c r="U416" i="11" s="1"/>
  <c r="R399" i="11"/>
  <c r="U399" i="11" s="1"/>
  <c r="R391" i="11"/>
  <c r="U391" i="11" s="1"/>
  <c r="T373" i="11"/>
  <c r="W373" i="11" s="1"/>
  <c r="R359" i="11"/>
  <c r="U359" i="11" s="1"/>
  <c r="T352" i="11"/>
  <c r="W352" i="11" s="1"/>
  <c r="R338" i="11"/>
  <c r="U338" i="11" s="1"/>
  <c r="T331" i="11"/>
  <c r="W331" i="11" s="1"/>
  <c r="R324" i="11"/>
  <c r="U324" i="11" s="1"/>
  <c r="T310" i="11"/>
  <c r="W310" i="11" s="1"/>
  <c r="R303" i="11"/>
  <c r="R290" i="11"/>
  <c r="U290" i="11" s="1"/>
  <c r="R282" i="11"/>
  <c r="R271" i="11"/>
  <c r="U271" i="11" s="1"/>
  <c r="T266" i="11"/>
  <c r="W266" i="11" s="1"/>
  <c r="O259" i="11"/>
  <c r="T224" i="11"/>
  <c r="W224" i="11" s="1"/>
  <c r="T186" i="11"/>
  <c r="W186" i="11" s="1"/>
  <c r="T138" i="11"/>
  <c r="W138" i="11" s="1"/>
  <c r="T92" i="11"/>
  <c r="T54" i="11"/>
  <c r="W54" i="11" s="1"/>
  <c r="T14" i="11"/>
  <c r="W14" i="11" s="1"/>
  <c r="T400" i="12"/>
  <c r="W400" i="12" s="1"/>
  <c r="T396" i="12"/>
  <c r="W396" i="12" s="1"/>
  <c r="T394" i="12"/>
  <c r="W394" i="12" s="1"/>
  <c r="T388" i="12"/>
  <c r="W388" i="12" s="1"/>
  <c r="T386" i="12"/>
  <c r="O385" i="12"/>
  <c r="T356" i="12"/>
  <c r="W356" i="12" s="1"/>
  <c r="T354" i="12"/>
  <c r="W354" i="12" s="1"/>
  <c r="T352" i="12"/>
  <c r="W352" i="12" s="1"/>
  <c r="T348" i="12"/>
  <c r="W348" i="12" s="1"/>
  <c r="T346" i="12"/>
  <c r="W346" i="12" s="1"/>
  <c r="T344" i="12"/>
  <c r="Q301" i="12"/>
  <c r="T50" i="16"/>
  <c r="R51" i="16"/>
  <c r="T52" i="16"/>
  <c r="W52" i="16" s="1"/>
  <c r="R53" i="16"/>
  <c r="U53" i="16" s="1"/>
  <c r="T54" i="16"/>
  <c r="W54" i="16" s="1"/>
  <c r="R55" i="16"/>
  <c r="U55" i="16" s="1"/>
  <c r="T56" i="16"/>
  <c r="W56" i="16" s="1"/>
  <c r="R57" i="16"/>
  <c r="U57" i="16" s="1"/>
  <c r="T58" i="16"/>
  <c r="W58" i="16" s="1"/>
  <c r="R59" i="16"/>
  <c r="U59" i="16" s="1"/>
  <c r="T60" i="16"/>
  <c r="W60" i="16" s="1"/>
  <c r="R61" i="16"/>
  <c r="U61" i="16" s="1"/>
  <c r="T62" i="16"/>
  <c r="W62" i="16" s="1"/>
  <c r="R63" i="16"/>
  <c r="U63" i="16" s="1"/>
  <c r="T64" i="16"/>
  <c r="W64" i="16" s="1"/>
  <c r="R65" i="16"/>
  <c r="U65" i="16" s="1"/>
  <c r="T8" i="16"/>
  <c r="R9" i="16"/>
  <c r="T10" i="16"/>
  <c r="W10" i="16" s="1"/>
  <c r="R11" i="16"/>
  <c r="U11" i="16" s="1"/>
  <c r="T12" i="16"/>
  <c r="W12" i="16" s="1"/>
  <c r="R13" i="16"/>
  <c r="U13" i="16" s="1"/>
  <c r="T14" i="16"/>
  <c r="W14" i="16" s="1"/>
  <c r="R15" i="16"/>
  <c r="U15" i="16" s="1"/>
  <c r="T16" i="16"/>
  <c r="W16" i="16" s="1"/>
  <c r="R17" i="16"/>
  <c r="U17" i="16" s="1"/>
  <c r="T18" i="16"/>
  <c r="W18" i="16" s="1"/>
  <c r="R19" i="16"/>
  <c r="U19" i="16" s="1"/>
  <c r="T20" i="16"/>
  <c r="W20" i="16" s="1"/>
  <c r="R21" i="16"/>
  <c r="U21" i="16" s="1"/>
  <c r="T22" i="16"/>
  <c r="W22" i="16" s="1"/>
  <c r="R23" i="16"/>
  <c r="U23" i="16" s="1"/>
  <c r="T386" i="17"/>
  <c r="R387" i="17"/>
  <c r="T388" i="17"/>
  <c r="W388" i="17" s="1"/>
  <c r="R389" i="17"/>
  <c r="U389" i="17" s="1"/>
  <c r="T390" i="17"/>
  <c r="W390" i="17" s="1"/>
  <c r="R391" i="17"/>
  <c r="U391" i="17" s="1"/>
  <c r="T392" i="17"/>
  <c r="W392" i="17" s="1"/>
  <c r="R393" i="17"/>
  <c r="U393" i="17" s="1"/>
  <c r="T394" i="17"/>
  <c r="W394" i="17" s="1"/>
  <c r="R395" i="17"/>
  <c r="U395" i="17" s="1"/>
  <c r="T396" i="17"/>
  <c r="W396" i="17" s="1"/>
  <c r="R397" i="17"/>
  <c r="U397" i="17" s="1"/>
  <c r="T398" i="17"/>
  <c r="W398" i="17" s="1"/>
  <c r="R399" i="17"/>
  <c r="U399" i="17" s="1"/>
  <c r="T400" i="17"/>
  <c r="W400" i="17" s="1"/>
  <c r="R401" i="17"/>
  <c r="U401" i="17" s="1"/>
  <c r="T344" i="17"/>
  <c r="R345" i="17"/>
  <c r="T346" i="17"/>
  <c r="W346" i="17" s="1"/>
  <c r="R347" i="17"/>
  <c r="U347" i="17" s="1"/>
  <c r="T348" i="17"/>
  <c r="W348" i="17" s="1"/>
  <c r="R349" i="17"/>
  <c r="U349" i="17" s="1"/>
  <c r="T350" i="17"/>
  <c r="W350" i="17" s="1"/>
  <c r="R351" i="17"/>
  <c r="U351" i="17" s="1"/>
  <c r="T352" i="17"/>
  <c r="W352" i="17" s="1"/>
  <c r="R353" i="17"/>
  <c r="U353" i="17" s="1"/>
  <c r="T354" i="17"/>
  <c r="W354" i="17" s="1"/>
  <c r="R355" i="17"/>
  <c r="U355" i="17" s="1"/>
  <c r="T356" i="17"/>
  <c r="W356" i="17" s="1"/>
  <c r="R357" i="17"/>
  <c r="U357" i="17" s="1"/>
  <c r="T358" i="17"/>
  <c r="W358" i="17" s="1"/>
  <c r="R359" i="17"/>
  <c r="U359" i="17" s="1"/>
  <c r="T302" i="17"/>
  <c r="R303" i="17"/>
  <c r="T304" i="17"/>
  <c r="W304" i="17" s="1"/>
  <c r="R305" i="17"/>
  <c r="U305" i="17" s="1"/>
  <c r="T306" i="17"/>
  <c r="W306" i="17" s="1"/>
  <c r="R307" i="17"/>
  <c r="U307" i="17" s="1"/>
  <c r="T308" i="17"/>
  <c r="W308" i="17" s="1"/>
  <c r="R309" i="17"/>
  <c r="U309" i="17" s="1"/>
  <c r="T310" i="17"/>
  <c r="W310" i="17" s="1"/>
  <c r="R311" i="17"/>
  <c r="U311" i="17" s="1"/>
  <c r="T312" i="17"/>
  <c r="W312" i="17" s="1"/>
  <c r="R313" i="17"/>
  <c r="U313" i="17" s="1"/>
  <c r="T314" i="17"/>
  <c r="W314" i="17" s="1"/>
  <c r="R315" i="17"/>
  <c r="U315" i="17" s="1"/>
  <c r="T316" i="17"/>
  <c r="W316" i="17" s="1"/>
  <c r="R317" i="17"/>
  <c r="U317" i="17" s="1"/>
  <c r="T260" i="17"/>
  <c r="R261" i="17"/>
  <c r="T262" i="17"/>
  <c r="W262" i="17" s="1"/>
  <c r="R263" i="17"/>
  <c r="U263" i="17" s="1"/>
  <c r="T264" i="17"/>
  <c r="W264" i="17" s="1"/>
  <c r="R265" i="17"/>
  <c r="U265" i="17" s="1"/>
  <c r="T266" i="17"/>
  <c r="W266" i="17" s="1"/>
  <c r="R267" i="17"/>
  <c r="U267" i="17" s="1"/>
  <c r="T268" i="17"/>
  <c r="W268" i="17" s="1"/>
  <c r="R269" i="17"/>
  <c r="U269" i="17" s="1"/>
  <c r="T270" i="17"/>
  <c r="W270" i="17" s="1"/>
  <c r="R271" i="17"/>
  <c r="U271" i="17" s="1"/>
  <c r="T272" i="17"/>
  <c r="W272" i="17" s="1"/>
  <c r="R273" i="17"/>
  <c r="U273" i="17" s="1"/>
  <c r="T274" i="17"/>
  <c r="W274" i="17" s="1"/>
  <c r="R275" i="17"/>
  <c r="U275" i="17" s="1"/>
  <c r="T218" i="17"/>
  <c r="R219" i="17"/>
  <c r="T220" i="17"/>
  <c r="W220" i="17" s="1"/>
  <c r="R221" i="17"/>
  <c r="U221" i="17" s="1"/>
  <c r="T222" i="17"/>
  <c r="W222" i="17" s="1"/>
  <c r="R223" i="17"/>
  <c r="U223" i="17" s="1"/>
  <c r="T224" i="17"/>
  <c r="W224" i="17" s="1"/>
  <c r="R225" i="17"/>
  <c r="U225" i="17" s="1"/>
  <c r="T226" i="17"/>
  <c r="W226" i="17" s="1"/>
  <c r="R227" i="17"/>
  <c r="U227" i="17" s="1"/>
  <c r="T228" i="17"/>
  <c r="W228" i="17" s="1"/>
  <c r="R229" i="17"/>
  <c r="U229" i="17" s="1"/>
  <c r="T230" i="17"/>
  <c r="W230" i="17" s="1"/>
  <c r="R231" i="17"/>
  <c r="U231" i="17" s="1"/>
  <c r="T232" i="17"/>
  <c r="W232" i="17" s="1"/>
  <c r="R233" i="17"/>
  <c r="U233" i="17" s="1"/>
  <c r="T176" i="17"/>
  <c r="R177" i="17"/>
  <c r="T178" i="17"/>
  <c r="W178" i="17" s="1"/>
  <c r="R179" i="17"/>
  <c r="U179" i="17" s="1"/>
  <c r="T180" i="17"/>
  <c r="W180" i="17" s="1"/>
  <c r="R181" i="17"/>
  <c r="U181" i="17" s="1"/>
  <c r="T182" i="17"/>
  <c r="W182" i="17" s="1"/>
  <c r="R183" i="17"/>
  <c r="U183" i="17" s="1"/>
  <c r="T184" i="17"/>
  <c r="W184" i="17" s="1"/>
  <c r="R185" i="17"/>
  <c r="U185" i="17" s="1"/>
  <c r="T186" i="17"/>
  <c r="W186" i="17" s="1"/>
  <c r="R187" i="17"/>
  <c r="U187" i="17" s="1"/>
  <c r="T188" i="17"/>
  <c r="W188" i="17" s="1"/>
  <c r="R189" i="17"/>
  <c r="U189" i="17" s="1"/>
  <c r="T190" i="17"/>
  <c r="W190" i="17" s="1"/>
  <c r="R191" i="17"/>
  <c r="U191" i="17" s="1"/>
  <c r="T134" i="17"/>
  <c r="R135" i="17"/>
  <c r="T136" i="17"/>
  <c r="W136" i="17" s="1"/>
  <c r="R137" i="17"/>
  <c r="U137" i="17" s="1"/>
  <c r="T138" i="17"/>
  <c r="W138" i="17" s="1"/>
  <c r="R139" i="17"/>
  <c r="U139" i="17" s="1"/>
  <c r="T140" i="17"/>
  <c r="W140" i="17" s="1"/>
  <c r="R141" i="17"/>
  <c r="U141" i="17" s="1"/>
  <c r="T142" i="17"/>
  <c r="W142" i="17" s="1"/>
  <c r="R143" i="17"/>
  <c r="U143" i="17" s="1"/>
  <c r="T144" i="17"/>
  <c r="W144" i="17" s="1"/>
  <c r="R145" i="17"/>
  <c r="U145" i="17" s="1"/>
  <c r="T146" i="17"/>
  <c r="W146" i="17" s="1"/>
  <c r="R147" i="17"/>
  <c r="U147" i="17" s="1"/>
  <c r="T148" i="17"/>
  <c r="W148" i="17" s="1"/>
  <c r="R149" i="17"/>
  <c r="U149" i="17" s="1"/>
  <c r="T92" i="17"/>
  <c r="R93" i="17"/>
  <c r="T94" i="17"/>
  <c r="W94" i="17" s="1"/>
  <c r="R95" i="17"/>
  <c r="U95" i="17" s="1"/>
  <c r="T96" i="17"/>
  <c r="W96" i="17" s="1"/>
  <c r="R97" i="17"/>
  <c r="U97" i="17" s="1"/>
  <c r="T98" i="17"/>
  <c r="W98" i="17" s="1"/>
  <c r="R99" i="17"/>
  <c r="U99" i="17" s="1"/>
  <c r="T100" i="17"/>
  <c r="W100" i="17" s="1"/>
  <c r="R101" i="17"/>
  <c r="U101" i="17" s="1"/>
  <c r="T102" i="17"/>
  <c r="W102" i="17" s="1"/>
  <c r="R103" i="17"/>
  <c r="U103" i="17" s="1"/>
  <c r="T104" i="17"/>
  <c r="W104" i="17" s="1"/>
  <c r="R105" i="17"/>
  <c r="U105" i="17" s="1"/>
  <c r="T106" i="17"/>
  <c r="W106" i="17" s="1"/>
  <c r="R107" i="17"/>
  <c r="U107" i="17" s="1"/>
  <c r="T50" i="17"/>
  <c r="R51" i="17"/>
  <c r="T52" i="17"/>
  <c r="W52" i="17" s="1"/>
  <c r="R53" i="17"/>
  <c r="U53" i="17" s="1"/>
  <c r="T54" i="17"/>
  <c r="W54" i="17" s="1"/>
  <c r="R55" i="17"/>
  <c r="U55" i="17" s="1"/>
  <c r="T56" i="17"/>
  <c r="W56" i="17" s="1"/>
  <c r="R57" i="17"/>
  <c r="U57" i="17" s="1"/>
  <c r="T58" i="17"/>
  <c r="W58" i="17" s="1"/>
  <c r="R59" i="17"/>
  <c r="U59" i="17" s="1"/>
  <c r="T60" i="17"/>
  <c r="W60" i="17" s="1"/>
  <c r="R61" i="17"/>
  <c r="U61" i="17" s="1"/>
  <c r="T62" i="17"/>
  <c r="W62" i="17" s="1"/>
  <c r="R63" i="17"/>
  <c r="U63" i="17" s="1"/>
  <c r="T64" i="17"/>
  <c r="W64" i="17" s="1"/>
  <c r="R65" i="17"/>
  <c r="U65" i="17" s="1"/>
  <c r="R275" i="12"/>
  <c r="U275" i="12" s="1"/>
  <c r="T274" i="12"/>
  <c r="R273" i="12"/>
  <c r="U273" i="12" s="1"/>
  <c r="T272" i="12"/>
  <c r="W272" i="12" s="1"/>
  <c r="R271" i="12"/>
  <c r="U271" i="12" s="1"/>
  <c r="R269" i="12"/>
  <c r="U269" i="12" s="1"/>
  <c r="T268" i="12"/>
  <c r="W268" i="12" s="1"/>
  <c r="R267" i="12"/>
  <c r="U267" i="12" s="1"/>
  <c r="R265" i="12"/>
  <c r="U265" i="12" s="1"/>
  <c r="T264" i="12"/>
  <c r="W264" i="12" s="1"/>
  <c r="R263" i="12"/>
  <c r="U263" i="12" s="1"/>
  <c r="R261" i="12"/>
  <c r="U261" i="12" s="1"/>
  <c r="R254" i="12"/>
  <c r="U254" i="12" s="1"/>
  <c r="T253" i="12"/>
  <c r="W253" i="12" s="1"/>
  <c r="T251" i="12"/>
  <c r="W251" i="12" s="1"/>
  <c r="R250" i="12"/>
  <c r="U250" i="12" s="1"/>
  <c r="T249" i="12"/>
  <c r="W249" i="12" s="1"/>
  <c r="T247" i="12"/>
  <c r="W247" i="12" s="1"/>
  <c r="R246" i="12"/>
  <c r="U246" i="12" s="1"/>
  <c r="T245" i="12"/>
  <c r="W245" i="12" s="1"/>
  <c r="T243" i="12"/>
  <c r="W243" i="12" s="1"/>
  <c r="R242" i="12"/>
  <c r="U242" i="12" s="1"/>
  <c r="T241" i="12"/>
  <c r="W241" i="12" s="1"/>
  <c r="R233" i="12"/>
  <c r="U233" i="12" s="1"/>
  <c r="T232" i="12"/>
  <c r="W232" i="12" s="1"/>
  <c r="R231" i="12"/>
  <c r="U231" i="12" s="1"/>
  <c r="R229" i="12"/>
  <c r="U229" i="12" s="1"/>
  <c r="T228" i="12"/>
  <c r="W228" i="12" s="1"/>
  <c r="R227" i="12"/>
  <c r="U227" i="12" s="1"/>
  <c r="R225" i="12"/>
  <c r="U225" i="12" s="1"/>
  <c r="T224" i="12"/>
  <c r="W224" i="12" s="1"/>
  <c r="R223" i="12"/>
  <c r="U223" i="12" s="1"/>
  <c r="R221" i="12"/>
  <c r="U221" i="12" s="1"/>
  <c r="T220" i="12"/>
  <c r="W220" i="12" s="1"/>
  <c r="R219" i="12"/>
  <c r="T211" i="12"/>
  <c r="W211" i="12" s="1"/>
  <c r="R210" i="12"/>
  <c r="U210" i="12" s="1"/>
  <c r="T209" i="12"/>
  <c r="W209" i="12" s="1"/>
  <c r="T207" i="12"/>
  <c r="W207" i="12" s="1"/>
  <c r="R206" i="12"/>
  <c r="U206" i="12" s="1"/>
  <c r="T205" i="12"/>
  <c r="W205" i="12" s="1"/>
  <c r="T203" i="12"/>
  <c r="W203" i="12" s="1"/>
  <c r="R202" i="12"/>
  <c r="U202" i="12" s="1"/>
  <c r="T201" i="12"/>
  <c r="W201" i="12" s="1"/>
  <c r="T199" i="12"/>
  <c r="W199" i="12" s="1"/>
  <c r="R198" i="12"/>
  <c r="R191" i="12"/>
  <c r="U191" i="12" s="1"/>
  <c r="R189" i="12"/>
  <c r="U189" i="12" s="1"/>
  <c r="T188" i="12"/>
  <c r="W188" i="12" s="1"/>
  <c r="R187" i="12"/>
  <c r="U187" i="12" s="1"/>
  <c r="R185" i="12"/>
  <c r="U185" i="12" s="1"/>
  <c r="T184" i="12"/>
  <c r="W184" i="12" s="1"/>
  <c r="R183" i="12"/>
  <c r="U183" i="12" s="1"/>
  <c r="R181" i="12"/>
  <c r="U181" i="12" s="1"/>
  <c r="T180" i="12"/>
  <c r="W180" i="12" s="1"/>
  <c r="R179" i="12"/>
  <c r="U179" i="12" s="1"/>
  <c r="R177" i="12"/>
  <c r="R170" i="12"/>
  <c r="U170" i="12" s="1"/>
  <c r="T169" i="12"/>
  <c r="W169" i="12" s="1"/>
  <c r="T167" i="12"/>
  <c r="W167" i="12" s="1"/>
  <c r="R166" i="12"/>
  <c r="U166" i="12" s="1"/>
  <c r="T165" i="12"/>
  <c r="W165" i="12" s="1"/>
  <c r="T163" i="12"/>
  <c r="W163" i="12" s="1"/>
  <c r="R162" i="12"/>
  <c r="U162" i="12" s="1"/>
  <c r="T161" i="12"/>
  <c r="W161" i="12" s="1"/>
  <c r="T159" i="12"/>
  <c r="W159" i="12" s="1"/>
  <c r="R158" i="12"/>
  <c r="U158" i="12" s="1"/>
  <c r="T157" i="12"/>
  <c r="W157" i="12" s="1"/>
  <c r="R149" i="12"/>
  <c r="U149" i="12" s="1"/>
  <c r="T148" i="12"/>
  <c r="W148" i="12" s="1"/>
  <c r="R147" i="12"/>
  <c r="U147" i="12" s="1"/>
  <c r="R145" i="12"/>
  <c r="U145" i="12" s="1"/>
  <c r="T144" i="12"/>
  <c r="W144" i="12" s="1"/>
  <c r="R143" i="12"/>
  <c r="U143" i="12" s="1"/>
  <c r="R141" i="12"/>
  <c r="U141" i="12" s="1"/>
  <c r="T140" i="12"/>
  <c r="W140" i="12" s="1"/>
  <c r="R139" i="12"/>
  <c r="U139" i="12" s="1"/>
  <c r="R137" i="12"/>
  <c r="U137" i="12" s="1"/>
  <c r="T136" i="12"/>
  <c r="W136" i="12" s="1"/>
  <c r="R135" i="12"/>
  <c r="U135" i="12" s="1"/>
  <c r="T127" i="12"/>
  <c r="W127" i="12" s="1"/>
  <c r="R126" i="12"/>
  <c r="U126" i="12" s="1"/>
  <c r="T125" i="12"/>
  <c r="W125" i="12" s="1"/>
  <c r="T123" i="12"/>
  <c r="W123" i="12" s="1"/>
  <c r="R122" i="12"/>
  <c r="U122" i="12" s="1"/>
  <c r="T121" i="12"/>
  <c r="W121" i="12" s="1"/>
  <c r="T119" i="12"/>
  <c r="W119" i="12" s="1"/>
  <c r="R118" i="12"/>
  <c r="U118" i="12" s="1"/>
  <c r="T117" i="12"/>
  <c r="W117" i="12" s="1"/>
  <c r="T115" i="12"/>
  <c r="W115" i="12" s="1"/>
  <c r="R114" i="12"/>
  <c r="U114" i="12" s="1"/>
  <c r="R107" i="12"/>
  <c r="U107" i="12" s="1"/>
  <c r="R105" i="12"/>
  <c r="U105" i="12" s="1"/>
  <c r="T104" i="12"/>
  <c r="W104" i="12" s="1"/>
  <c r="R103" i="12"/>
  <c r="U103" i="12" s="1"/>
  <c r="R101" i="12"/>
  <c r="U101" i="12" s="1"/>
  <c r="T100" i="12"/>
  <c r="W100" i="12" s="1"/>
  <c r="R99" i="12"/>
  <c r="U99" i="12" s="1"/>
  <c r="R97" i="12"/>
  <c r="U97" i="12" s="1"/>
  <c r="T96" i="12"/>
  <c r="W96" i="12" s="1"/>
  <c r="R95" i="12"/>
  <c r="U95" i="12" s="1"/>
  <c r="R93" i="12"/>
  <c r="R86" i="12"/>
  <c r="U86" i="12" s="1"/>
  <c r="T85" i="12"/>
  <c r="W85" i="12" s="1"/>
  <c r="T83" i="12"/>
  <c r="W83" i="12" s="1"/>
  <c r="R82" i="12"/>
  <c r="U82" i="12" s="1"/>
  <c r="T81" i="12"/>
  <c r="W81" i="12" s="1"/>
  <c r="T79" i="12"/>
  <c r="W79" i="12" s="1"/>
  <c r="R78" i="12"/>
  <c r="U78" i="12" s="1"/>
  <c r="T77" i="12"/>
  <c r="W77" i="12" s="1"/>
  <c r="T75" i="12"/>
  <c r="W75" i="12" s="1"/>
  <c r="R74" i="12"/>
  <c r="U74" i="12" s="1"/>
  <c r="T73" i="12"/>
  <c r="W73" i="12" s="1"/>
  <c r="R65" i="12"/>
  <c r="U65" i="12" s="1"/>
  <c r="T64" i="12"/>
  <c r="W64" i="12" s="1"/>
  <c r="R63" i="12"/>
  <c r="U63" i="12" s="1"/>
  <c r="R61" i="12"/>
  <c r="U61" i="12" s="1"/>
  <c r="T60" i="12"/>
  <c r="W60" i="12" s="1"/>
  <c r="R59" i="12"/>
  <c r="U59" i="12" s="1"/>
  <c r="R57" i="12"/>
  <c r="U57" i="12" s="1"/>
  <c r="T56" i="12"/>
  <c r="W56" i="12" s="1"/>
  <c r="R55" i="12"/>
  <c r="U55" i="12" s="1"/>
  <c r="R53" i="12"/>
  <c r="U53" i="12" s="1"/>
  <c r="T52" i="12"/>
  <c r="W52" i="12" s="1"/>
  <c r="R51" i="12"/>
  <c r="T43" i="12"/>
  <c r="W43" i="12" s="1"/>
  <c r="R42" i="12"/>
  <c r="U42" i="12" s="1"/>
  <c r="T41" i="12"/>
  <c r="W41" i="12" s="1"/>
  <c r="T39" i="12"/>
  <c r="W39" i="12" s="1"/>
  <c r="R38" i="12"/>
  <c r="U38" i="12" s="1"/>
  <c r="T37" i="12"/>
  <c r="W37" i="12" s="1"/>
  <c r="T35" i="12"/>
  <c r="W35" i="12" s="1"/>
  <c r="R34" i="12"/>
  <c r="U34" i="12" s="1"/>
  <c r="T33" i="12"/>
  <c r="W33" i="12" s="1"/>
  <c r="T31" i="12"/>
  <c r="W31" i="12" s="1"/>
  <c r="R30" i="12"/>
  <c r="R23" i="12"/>
  <c r="U23" i="12" s="1"/>
  <c r="R21" i="12"/>
  <c r="U21" i="12" s="1"/>
  <c r="T20" i="12"/>
  <c r="W20" i="12" s="1"/>
  <c r="R19" i="12"/>
  <c r="U19" i="12" s="1"/>
  <c r="R17" i="12"/>
  <c r="U17" i="12" s="1"/>
  <c r="T16" i="12"/>
  <c r="W16" i="12" s="1"/>
  <c r="R15" i="12"/>
  <c r="U15" i="12" s="1"/>
  <c r="R13" i="12"/>
  <c r="U13" i="12" s="1"/>
  <c r="T12" i="12"/>
  <c r="W12" i="12" s="1"/>
  <c r="R11" i="12"/>
  <c r="U11" i="12" s="1"/>
  <c r="R9" i="12"/>
  <c r="R422" i="13"/>
  <c r="U422" i="13" s="1"/>
  <c r="T421" i="13"/>
  <c r="W421" i="13" s="1"/>
  <c r="T419" i="13"/>
  <c r="W419" i="13" s="1"/>
  <c r="R418" i="13"/>
  <c r="U418" i="13" s="1"/>
  <c r="T417" i="13"/>
  <c r="W417" i="13" s="1"/>
  <c r="T415" i="13"/>
  <c r="W415" i="13" s="1"/>
  <c r="R414" i="13"/>
  <c r="U414" i="13" s="1"/>
  <c r="T413" i="13"/>
  <c r="W413" i="13" s="1"/>
  <c r="T411" i="13"/>
  <c r="W411" i="13" s="1"/>
  <c r="R410" i="13"/>
  <c r="U410" i="13" s="1"/>
  <c r="T409" i="13"/>
  <c r="W409" i="13" s="1"/>
  <c r="R401" i="13"/>
  <c r="U401" i="13" s="1"/>
  <c r="T400" i="13"/>
  <c r="W400" i="13" s="1"/>
  <c r="R399" i="13"/>
  <c r="U399" i="13" s="1"/>
  <c r="R397" i="13"/>
  <c r="U397" i="13" s="1"/>
  <c r="T396" i="13"/>
  <c r="W396" i="13" s="1"/>
  <c r="R395" i="13"/>
  <c r="U395" i="13" s="1"/>
  <c r="R393" i="13"/>
  <c r="U393" i="13" s="1"/>
  <c r="T392" i="13"/>
  <c r="W392" i="13" s="1"/>
  <c r="R391" i="13"/>
  <c r="U391" i="13" s="1"/>
  <c r="R389" i="13"/>
  <c r="U389" i="13" s="1"/>
  <c r="T388" i="13"/>
  <c r="W388" i="13" s="1"/>
  <c r="R387" i="13"/>
  <c r="T379" i="13"/>
  <c r="W379" i="13" s="1"/>
  <c r="R378" i="13"/>
  <c r="U378" i="13" s="1"/>
  <c r="T377" i="13"/>
  <c r="W377" i="13" s="1"/>
  <c r="T375" i="13"/>
  <c r="W375" i="13" s="1"/>
  <c r="R374" i="13"/>
  <c r="U374" i="13" s="1"/>
  <c r="T373" i="13"/>
  <c r="W373" i="13" s="1"/>
  <c r="T371" i="13"/>
  <c r="W371" i="13" s="1"/>
  <c r="R370" i="13"/>
  <c r="U370" i="13" s="1"/>
  <c r="T369" i="13"/>
  <c r="W369" i="13" s="1"/>
  <c r="T367" i="13"/>
  <c r="W367" i="13" s="1"/>
  <c r="R366" i="13"/>
  <c r="R359" i="13"/>
  <c r="U359" i="13" s="1"/>
  <c r="R357" i="13"/>
  <c r="U357" i="13" s="1"/>
  <c r="T356" i="13"/>
  <c r="W356" i="13" s="1"/>
  <c r="R355" i="13"/>
  <c r="U355" i="13" s="1"/>
  <c r="R353" i="13"/>
  <c r="U353" i="13" s="1"/>
  <c r="T352" i="13"/>
  <c r="W352" i="13" s="1"/>
  <c r="R351" i="13"/>
  <c r="U351" i="13" s="1"/>
  <c r="R349" i="13"/>
  <c r="U349" i="13" s="1"/>
  <c r="T348" i="13"/>
  <c r="W348" i="13" s="1"/>
  <c r="R347" i="13"/>
  <c r="U347" i="13" s="1"/>
  <c r="R345" i="13"/>
  <c r="U345" i="13" s="1"/>
  <c r="R338" i="13"/>
  <c r="U338" i="13" s="1"/>
  <c r="T337" i="13"/>
  <c r="W337" i="13" s="1"/>
  <c r="T335" i="13"/>
  <c r="W335" i="13" s="1"/>
  <c r="R334" i="13"/>
  <c r="U334" i="13" s="1"/>
  <c r="T333" i="13"/>
  <c r="W333" i="13" s="1"/>
  <c r="T331" i="13"/>
  <c r="W331" i="13" s="1"/>
  <c r="R330" i="13"/>
  <c r="U330" i="13" s="1"/>
  <c r="T329" i="13"/>
  <c r="W329" i="13" s="1"/>
  <c r="T327" i="13"/>
  <c r="W327" i="13" s="1"/>
  <c r="R326" i="13"/>
  <c r="U326" i="13" s="1"/>
  <c r="T325" i="13"/>
  <c r="W325" i="13" s="1"/>
  <c r="R317" i="13"/>
  <c r="U317" i="13" s="1"/>
  <c r="T316" i="13"/>
  <c r="W316" i="13" s="1"/>
  <c r="R315" i="13"/>
  <c r="U315" i="13" s="1"/>
  <c r="R313" i="13"/>
  <c r="U313" i="13" s="1"/>
  <c r="T312" i="13"/>
  <c r="W312" i="13" s="1"/>
  <c r="R311" i="13"/>
  <c r="U311" i="13" s="1"/>
  <c r="R309" i="13"/>
  <c r="U309" i="13" s="1"/>
  <c r="T308" i="13"/>
  <c r="W308" i="13" s="1"/>
  <c r="R307" i="13"/>
  <c r="U307" i="13" s="1"/>
  <c r="R305" i="13"/>
  <c r="U305" i="13" s="1"/>
  <c r="T304" i="13"/>
  <c r="W304" i="13" s="1"/>
  <c r="R303" i="13"/>
  <c r="T295" i="13"/>
  <c r="W295" i="13" s="1"/>
  <c r="R294" i="13"/>
  <c r="U294" i="13" s="1"/>
  <c r="T293" i="13"/>
  <c r="W293" i="13" s="1"/>
  <c r="T291" i="13"/>
  <c r="W291" i="13" s="1"/>
  <c r="R290" i="13"/>
  <c r="U290" i="13" s="1"/>
  <c r="T289" i="13"/>
  <c r="W289" i="13" s="1"/>
  <c r="T287" i="13"/>
  <c r="W287" i="13" s="1"/>
  <c r="R286" i="13"/>
  <c r="U286" i="13" s="1"/>
  <c r="T285" i="13"/>
  <c r="W285" i="13" s="1"/>
  <c r="T283" i="13"/>
  <c r="W283" i="13" s="1"/>
  <c r="R282" i="13"/>
  <c r="R275" i="13"/>
  <c r="U275" i="13" s="1"/>
  <c r="R273" i="13"/>
  <c r="U273" i="13" s="1"/>
  <c r="T272" i="13"/>
  <c r="W272" i="13" s="1"/>
  <c r="R271" i="13"/>
  <c r="U271" i="13" s="1"/>
  <c r="R269" i="13"/>
  <c r="U269" i="13" s="1"/>
  <c r="T268" i="13"/>
  <c r="W268" i="13" s="1"/>
  <c r="R267" i="13"/>
  <c r="U267" i="13" s="1"/>
  <c r="R265" i="13"/>
  <c r="U265" i="13" s="1"/>
  <c r="T264" i="13"/>
  <c r="W264" i="13" s="1"/>
  <c r="R263" i="13"/>
  <c r="U263" i="13" s="1"/>
  <c r="R261" i="13"/>
  <c r="R254" i="13"/>
  <c r="U254" i="13" s="1"/>
  <c r="T253" i="13"/>
  <c r="W253" i="13" s="1"/>
  <c r="T251" i="13"/>
  <c r="W251" i="13" s="1"/>
  <c r="R250" i="13"/>
  <c r="U250" i="13" s="1"/>
  <c r="T249" i="13"/>
  <c r="W249" i="13" s="1"/>
  <c r="T247" i="13"/>
  <c r="W247" i="13" s="1"/>
  <c r="R246" i="13"/>
  <c r="U246" i="13" s="1"/>
  <c r="T245" i="13"/>
  <c r="W245" i="13" s="1"/>
  <c r="T243" i="13"/>
  <c r="W243" i="13" s="1"/>
  <c r="R242" i="13"/>
  <c r="U242" i="13" s="1"/>
  <c r="T241" i="13"/>
  <c r="W241" i="13" s="1"/>
  <c r="R233" i="13"/>
  <c r="U233" i="13" s="1"/>
  <c r="T232" i="13"/>
  <c r="W232" i="13" s="1"/>
  <c r="R231" i="13"/>
  <c r="U231" i="13" s="1"/>
  <c r="R229" i="13"/>
  <c r="U229" i="13" s="1"/>
  <c r="T228" i="13"/>
  <c r="W228" i="13" s="1"/>
  <c r="R227" i="13"/>
  <c r="U227" i="13" s="1"/>
  <c r="R225" i="13"/>
  <c r="U225" i="13" s="1"/>
  <c r="T224" i="13"/>
  <c r="W224" i="13" s="1"/>
  <c r="R223" i="13"/>
  <c r="U223" i="13" s="1"/>
  <c r="R221" i="13"/>
  <c r="U221" i="13" s="1"/>
  <c r="T220" i="13"/>
  <c r="W220" i="13" s="1"/>
  <c r="R219" i="13"/>
  <c r="U219" i="13" s="1"/>
  <c r="T211" i="13"/>
  <c r="W211" i="13" s="1"/>
  <c r="R210" i="13"/>
  <c r="U210" i="13" s="1"/>
  <c r="T209" i="13"/>
  <c r="W209" i="13" s="1"/>
  <c r="T207" i="13"/>
  <c r="W207" i="13" s="1"/>
  <c r="R206" i="13"/>
  <c r="U206" i="13" s="1"/>
  <c r="T205" i="13"/>
  <c r="W205" i="13" s="1"/>
  <c r="T203" i="13"/>
  <c r="W203" i="13" s="1"/>
  <c r="R202" i="13"/>
  <c r="U202" i="13" s="1"/>
  <c r="T201" i="13"/>
  <c r="W201" i="13" s="1"/>
  <c r="T199" i="13"/>
  <c r="W199" i="13" s="1"/>
  <c r="R198" i="13"/>
  <c r="U198" i="13" s="1"/>
  <c r="R191" i="13"/>
  <c r="U191" i="13" s="1"/>
  <c r="R189" i="13"/>
  <c r="U189" i="13" s="1"/>
  <c r="T188" i="13"/>
  <c r="W188" i="13" s="1"/>
  <c r="R187" i="13"/>
  <c r="U187" i="13" s="1"/>
  <c r="R185" i="13"/>
  <c r="U185" i="13" s="1"/>
  <c r="T184" i="13"/>
  <c r="W184" i="13" s="1"/>
  <c r="R183" i="13"/>
  <c r="U183" i="13" s="1"/>
  <c r="R181" i="13"/>
  <c r="U181" i="13" s="1"/>
  <c r="T180" i="13"/>
  <c r="W180" i="13" s="1"/>
  <c r="R179" i="13"/>
  <c r="U179" i="13" s="1"/>
  <c r="R177" i="13"/>
  <c r="R170" i="13"/>
  <c r="U170" i="13" s="1"/>
  <c r="T169" i="13"/>
  <c r="W169" i="13" s="1"/>
  <c r="T167" i="13"/>
  <c r="W167" i="13" s="1"/>
  <c r="R166" i="13"/>
  <c r="U166" i="13" s="1"/>
  <c r="T165" i="13"/>
  <c r="W165" i="13" s="1"/>
  <c r="T163" i="13"/>
  <c r="W163" i="13" s="1"/>
  <c r="R162" i="13"/>
  <c r="U162" i="13" s="1"/>
  <c r="T161" i="13"/>
  <c r="W161" i="13" s="1"/>
  <c r="T159" i="13"/>
  <c r="W159" i="13" s="1"/>
  <c r="R158" i="13"/>
  <c r="U158" i="13" s="1"/>
  <c r="T157" i="13"/>
  <c r="W157" i="13" s="1"/>
  <c r="R149" i="13"/>
  <c r="U149" i="13" s="1"/>
  <c r="T148" i="13"/>
  <c r="W148" i="13" s="1"/>
  <c r="R147" i="13"/>
  <c r="U147" i="13" s="1"/>
  <c r="R145" i="13"/>
  <c r="U145" i="13" s="1"/>
  <c r="T144" i="13"/>
  <c r="W144" i="13" s="1"/>
  <c r="R143" i="13"/>
  <c r="U143" i="13" s="1"/>
  <c r="R141" i="13"/>
  <c r="U141" i="13" s="1"/>
  <c r="T140" i="13"/>
  <c r="W140" i="13" s="1"/>
  <c r="R139" i="13"/>
  <c r="U139" i="13" s="1"/>
  <c r="R137" i="13"/>
  <c r="U137" i="13" s="1"/>
  <c r="T136" i="13"/>
  <c r="W136" i="13" s="1"/>
  <c r="R135" i="13"/>
  <c r="T127" i="13"/>
  <c r="W127" i="13" s="1"/>
  <c r="R126" i="13"/>
  <c r="U126" i="13" s="1"/>
  <c r="T125" i="13"/>
  <c r="W125" i="13" s="1"/>
  <c r="T123" i="13"/>
  <c r="W123" i="13" s="1"/>
  <c r="R122" i="13"/>
  <c r="U122" i="13" s="1"/>
  <c r="T121" i="13"/>
  <c r="W121" i="13" s="1"/>
  <c r="T119" i="13"/>
  <c r="W119" i="13" s="1"/>
  <c r="R118" i="13"/>
  <c r="U118" i="13" s="1"/>
  <c r="T117" i="13"/>
  <c r="W117" i="13" s="1"/>
  <c r="T115" i="13"/>
  <c r="W115" i="13" s="1"/>
  <c r="R114" i="13"/>
  <c r="R107" i="13"/>
  <c r="U107" i="13" s="1"/>
  <c r="R105" i="13"/>
  <c r="U105" i="13" s="1"/>
  <c r="T104" i="13"/>
  <c r="W104" i="13" s="1"/>
  <c r="R103" i="13"/>
  <c r="U103" i="13" s="1"/>
  <c r="R101" i="13"/>
  <c r="U101" i="13" s="1"/>
  <c r="T100" i="13"/>
  <c r="W100" i="13" s="1"/>
  <c r="R99" i="13"/>
  <c r="U99" i="13" s="1"/>
  <c r="R97" i="13"/>
  <c r="U97" i="13" s="1"/>
  <c r="T96" i="13"/>
  <c r="W96" i="13" s="1"/>
  <c r="R95" i="13"/>
  <c r="U95" i="13" s="1"/>
  <c r="R93" i="13"/>
  <c r="R86" i="13"/>
  <c r="U86" i="13" s="1"/>
  <c r="T85" i="13"/>
  <c r="W85" i="13" s="1"/>
  <c r="T83" i="13"/>
  <c r="W83" i="13" s="1"/>
  <c r="R82" i="13"/>
  <c r="U82" i="13" s="1"/>
  <c r="T81" i="13"/>
  <c r="W81" i="13" s="1"/>
  <c r="T79" i="13"/>
  <c r="W79" i="13" s="1"/>
  <c r="R78" i="13"/>
  <c r="U78" i="13" s="1"/>
  <c r="T77" i="13"/>
  <c r="W77" i="13" s="1"/>
  <c r="T75" i="13"/>
  <c r="W75" i="13" s="1"/>
  <c r="R74" i="13"/>
  <c r="U74" i="13" s="1"/>
  <c r="T73" i="13"/>
  <c r="W73" i="13" s="1"/>
  <c r="R65" i="13"/>
  <c r="U65" i="13" s="1"/>
  <c r="T64" i="13"/>
  <c r="W64" i="13" s="1"/>
  <c r="R63" i="13"/>
  <c r="U63" i="13" s="1"/>
  <c r="R61" i="13"/>
  <c r="U61" i="13" s="1"/>
  <c r="T60" i="13"/>
  <c r="W60" i="13" s="1"/>
  <c r="R59" i="13"/>
  <c r="U59" i="13" s="1"/>
  <c r="R57" i="13"/>
  <c r="U57" i="13" s="1"/>
  <c r="T56" i="13"/>
  <c r="W56" i="13" s="1"/>
  <c r="R55" i="13"/>
  <c r="U55" i="13" s="1"/>
  <c r="R53" i="13"/>
  <c r="U53" i="13" s="1"/>
  <c r="T52" i="13"/>
  <c r="W52" i="13" s="1"/>
  <c r="R51" i="13"/>
  <c r="T43" i="13"/>
  <c r="W43" i="13" s="1"/>
  <c r="R42" i="13"/>
  <c r="U42" i="13" s="1"/>
  <c r="T41" i="13"/>
  <c r="W41" i="13" s="1"/>
  <c r="T39" i="13"/>
  <c r="W39" i="13" s="1"/>
  <c r="R38" i="13"/>
  <c r="U38" i="13" s="1"/>
  <c r="T37" i="13"/>
  <c r="W37" i="13" s="1"/>
  <c r="T35" i="13"/>
  <c r="W35" i="13" s="1"/>
  <c r="R34" i="13"/>
  <c r="U34" i="13" s="1"/>
  <c r="T33" i="13"/>
  <c r="W33" i="13" s="1"/>
  <c r="T31" i="13"/>
  <c r="W31" i="13" s="1"/>
  <c r="R30" i="13"/>
  <c r="R23" i="13"/>
  <c r="U23" i="13" s="1"/>
  <c r="R21" i="13"/>
  <c r="U21" i="13" s="1"/>
  <c r="T20" i="13"/>
  <c r="W20" i="13" s="1"/>
  <c r="R19" i="13"/>
  <c r="U19" i="13" s="1"/>
  <c r="R17" i="13"/>
  <c r="U17" i="13" s="1"/>
  <c r="T16" i="13"/>
  <c r="W16" i="13" s="1"/>
  <c r="R15" i="13"/>
  <c r="U15" i="13" s="1"/>
  <c r="R13" i="13"/>
  <c r="U13" i="13" s="1"/>
  <c r="T12" i="13"/>
  <c r="W12" i="13" s="1"/>
  <c r="R11" i="13"/>
  <c r="U11" i="13" s="1"/>
  <c r="R9" i="13"/>
  <c r="U9" i="13" s="1"/>
  <c r="R422" i="14"/>
  <c r="U422" i="14" s="1"/>
  <c r="T421" i="14"/>
  <c r="W421" i="14" s="1"/>
  <c r="T419" i="14"/>
  <c r="W419" i="14" s="1"/>
  <c r="R418" i="14"/>
  <c r="U418" i="14" s="1"/>
  <c r="T417" i="14"/>
  <c r="W417" i="14" s="1"/>
  <c r="T415" i="14"/>
  <c r="W415" i="14" s="1"/>
  <c r="R414" i="14"/>
  <c r="U414" i="14" s="1"/>
  <c r="T413" i="14"/>
  <c r="W413" i="14" s="1"/>
  <c r="T411" i="14"/>
  <c r="W411" i="14" s="1"/>
  <c r="R410" i="14"/>
  <c r="U410" i="14" s="1"/>
  <c r="T409" i="14"/>
  <c r="W409" i="14" s="1"/>
  <c r="R401" i="14"/>
  <c r="U401" i="14" s="1"/>
  <c r="T400" i="14"/>
  <c r="W400" i="14" s="1"/>
  <c r="R399" i="14"/>
  <c r="U399" i="14" s="1"/>
  <c r="R397" i="14"/>
  <c r="U397" i="14" s="1"/>
  <c r="T396" i="14"/>
  <c r="W396" i="14" s="1"/>
  <c r="R395" i="14"/>
  <c r="U395" i="14" s="1"/>
  <c r="R393" i="14"/>
  <c r="U393" i="14" s="1"/>
  <c r="T392" i="14"/>
  <c r="W392" i="14" s="1"/>
  <c r="R391" i="14"/>
  <c r="U391" i="14" s="1"/>
  <c r="R389" i="14"/>
  <c r="U389" i="14" s="1"/>
  <c r="T388" i="14"/>
  <c r="W388" i="14" s="1"/>
  <c r="R387" i="14"/>
  <c r="T379" i="14"/>
  <c r="W379" i="14" s="1"/>
  <c r="R378" i="14"/>
  <c r="U378" i="14" s="1"/>
  <c r="T377" i="14"/>
  <c r="W377" i="14" s="1"/>
  <c r="T375" i="14"/>
  <c r="W375" i="14" s="1"/>
  <c r="R374" i="14"/>
  <c r="U374" i="14" s="1"/>
  <c r="T373" i="14"/>
  <c r="W373" i="14" s="1"/>
  <c r="T371" i="14"/>
  <c r="W371" i="14" s="1"/>
  <c r="R370" i="14"/>
  <c r="U370" i="14" s="1"/>
  <c r="T369" i="14"/>
  <c r="W369" i="14" s="1"/>
  <c r="T367" i="14"/>
  <c r="W367" i="14" s="1"/>
  <c r="R366" i="14"/>
  <c r="R359" i="14"/>
  <c r="U359" i="14" s="1"/>
  <c r="R357" i="14"/>
  <c r="U357" i="14" s="1"/>
  <c r="T356" i="14"/>
  <c r="W356" i="14" s="1"/>
  <c r="R355" i="14"/>
  <c r="U355" i="14" s="1"/>
  <c r="R353" i="14"/>
  <c r="U353" i="14" s="1"/>
  <c r="T352" i="14"/>
  <c r="W352" i="14" s="1"/>
  <c r="R351" i="14"/>
  <c r="U351" i="14" s="1"/>
  <c r="R349" i="14"/>
  <c r="U349" i="14" s="1"/>
  <c r="T348" i="14"/>
  <c r="W348" i="14" s="1"/>
  <c r="R347" i="14"/>
  <c r="U347" i="14" s="1"/>
  <c r="R345" i="14"/>
  <c r="R338" i="14"/>
  <c r="U338" i="14" s="1"/>
  <c r="T337" i="14"/>
  <c r="W337" i="14" s="1"/>
  <c r="T335" i="14"/>
  <c r="W335" i="14" s="1"/>
  <c r="R334" i="14"/>
  <c r="U334" i="14" s="1"/>
  <c r="T333" i="14"/>
  <c r="W333" i="14" s="1"/>
  <c r="T331" i="14"/>
  <c r="W331" i="14" s="1"/>
  <c r="R330" i="14"/>
  <c r="U330" i="14" s="1"/>
  <c r="T329" i="14"/>
  <c r="W329" i="14" s="1"/>
  <c r="T327" i="14"/>
  <c r="W327" i="14" s="1"/>
  <c r="R326" i="14"/>
  <c r="U326" i="14" s="1"/>
  <c r="T325" i="14"/>
  <c r="W325" i="14" s="1"/>
  <c r="R317" i="14"/>
  <c r="U317" i="14" s="1"/>
  <c r="T316" i="14"/>
  <c r="W316" i="14" s="1"/>
  <c r="R315" i="14"/>
  <c r="U315" i="14" s="1"/>
  <c r="R313" i="14"/>
  <c r="U313" i="14" s="1"/>
  <c r="T312" i="14"/>
  <c r="W312" i="14" s="1"/>
  <c r="R311" i="14"/>
  <c r="U311" i="14" s="1"/>
  <c r="R309" i="14"/>
  <c r="U309" i="14" s="1"/>
  <c r="T308" i="14"/>
  <c r="W308" i="14" s="1"/>
  <c r="R307" i="14"/>
  <c r="U307" i="14" s="1"/>
  <c r="R305" i="14"/>
  <c r="U305" i="14" s="1"/>
  <c r="T304" i="14"/>
  <c r="W304" i="14" s="1"/>
  <c r="R303" i="14"/>
  <c r="U303" i="14" s="1"/>
  <c r="T295" i="14"/>
  <c r="W295" i="14" s="1"/>
  <c r="R294" i="14"/>
  <c r="U294" i="14" s="1"/>
  <c r="T293" i="14"/>
  <c r="W293" i="14" s="1"/>
  <c r="T291" i="14"/>
  <c r="W291" i="14" s="1"/>
  <c r="R290" i="14"/>
  <c r="U290" i="14" s="1"/>
  <c r="T289" i="14"/>
  <c r="W289" i="14" s="1"/>
  <c r="T287" i="14"/>
  <c r="W287" i="14" s="1"/>
  <c r="R286" i="14"/>
  <c r="U286" i="14" s="1"/>
  <c r="T285" i="14"/>
  <c r="W285" i="14" s="1"/>
  <c r="T283" i="14"/>
  <c r="W283" i="14" s="1"/>
  <c r="R282" i="14"/>
  <c r="U282" i="14" s="1"/>
  <c r="R275" i="14"/>
  <c r="U275" i="14" s="1"/>
  <c r="R273" i="14"/>
  <c r="U273" i="14" s="1"/>
  <c r="T272" i="14"/>
  <c r="W272" i="14" s="1"/>
  <c r="R271" i="14"/>
  <c r="U271" i="14" s="1"/>
  <c r="R269" i="14"/>
  <c r="U269" i="14" s="1"/>
  <c r="T268" i="14"/>
  <c r="W268" i="14" s="1"/>
  <c r="R267" i="14"/>
  <c r="U267" i="14" s="1"/>
  <c r="T266" i="14"/>
  <c r="W266" i="14" s="1"/>
  <c r="R265" i="14"/>
  <c r="U265" i="14" s="1"/>
  <c r="T264" i="14"/>
  <c r="W264" i="14" s="1"/>
  <c r="R263" i="14"/>
  <c r="U263" i="14" s="1"/>
  <c r="T262" i="14"/>
  <c r="W262" i="14" s="1"/>
  <c r="R261" i="14"/>
  <c r="U261" i="14" s="1"/>
  <c r="R254" i="14"/>
  <c r="U254" i="14" s="1"/>
  <c r="T253" i="14"/>
  <c r="W253" i="14" s="1"/>
  <c r="R252" i="14"/>
  <c r="U252" i="14" s="1"/>
  <c r="T251" i="14"/>
  <c r="W251" i="14" s="1"/>
  <c r="R250" i="14"/>
  <c r="U250" i="14" s="1"/>
  <c r="T249" i="14"/>
  <c r="W249" i="14" s="1"/>
  <c r="R248" i="14"/>
  <c r="U248" i="14" s="1"/>
  <c r="T247" i="14"/>
  <c r="W247" i="14" s="1"/>
  <c r="R246" i="14"/>
  <c r="U246" i="14" s="1"/>
  <c r="T245" i="14"/>
  <c r="W245" i="14" s="1"/>
  <c r="R244" i="14"/>
  <c r="U244" i="14" s="1"/>
  <c r="T243" i="14"/>
  <c r="W243" i="14" s="1"/>
  <c r="R242" i="14"/>
  <c r="U242" i="14" s="1"/>
  <c r="T241" i="14"/>
  <c r="W241" i="14" s="1"/>
  <c r="R240" i="14"/>
  <c r="R233" i="14"/>
  <c r="U233" i="14" s="1"/>
  <c r="T232" i="14"/>
  <c r="W232" i="14" s="1"/>
  <c r="R231" i="14"/>
  <c r="U231" i="14" s="1"/>
  <c r="T230" i="14"/>
  <c r="W230" i="14" s="1"/>
  <c r="R229" i="14"/>
  <c r="U229" i="14" s="1"/>
  <c r="T228" i="14"/>
  <c r="W228" i="14" s="1"/>
  <c r="R227" i="14"/>
  <c r="U227" i="14" s="1"/>
  <c r="T226" i="14"/>
  <c r="W226" i="14" s="1"/>
  <c r="R225" i="14"/>
  <c r="U225" i="14" s="1"/>
  <c r="T224" i="14"/>
  <c r="W224" i="14" s="1"/>
  <c r="R223" i="14"/>
  <c r="U223" i="14" s="1"/>
  <c r="T222" i="14"/>
  <c r="W222" i="14" s="1"/>
  <c r="R221" i="14"/>
  <c r="U221" i="14" s="1"/>
  <c r="T220" i="14"/>
  <c r="W220" i="14" s="1"/>
  <c r="R219" i="14"/>
  <c r="R212" i="14"/>
  <c r="U212" i="14" s="1"/>
  <c r="T211" i="14"/>
  <c r="W211" i="14" s="1"/>
  <c r="R210" i="14"/>
  <c r="U210" i="14" s="1"/>
  <c r="T209" i="14"/>
  <c r="W209" i="14" s="1"/>
  <c r="R208" i="14"/>
  <c r="U208" i="14" s="1"/>
  <c r="T207" i="14"/>
  <c r="W207" i="14" s="1"/>
  <c r="R206" i="14"/>
  <c r="U206" i="14" s="1"/>
  <c r="T205" i="14"/>
  <c r="W205" i="14" s="1"/>
  <c r="R204" i="14"/>
  <c r="U204" i="14" s="1"/>
  <c r="T203" i="14"/>
  <c r="W203" i="14" s="1"/>
  <c r="R202" i="14"/>
  <c r="U202" i="14" s="1"/>
  <c r="T201" i="14"/>
  <c r="W201" i="14" s="1"/>
  <c r="R200" i="14"/>
  <c r="U200" i="14" s="1"/>
  <c r="T199" i="14"/>
  <c r="W199" i="14" s="1"/>
  <c r="R198" i="14"/>
  <c r="R191" i="14"/>
  <c r="U191" i="14" s="1"/>
  <c r="T190" i="14"/>
  <c r="W190" i="14" s="1"/>
  <c r="R189" i="14"/>
  <c r="U189" i="14" s="1"/>
  <c r="T188" i="14"/>
  <c r="W188" i="14" s="1"/>
  <c r="R187" i="14"/>
  <c r="U187" i="14" s="1"/>
  <c r="T186" i="14"/>
  <c r="W186" i="14" s="1"/>
  <c r="R185" i="14"/>
  <c r="U185" i="14" s="1"/>
  <c r="T184" i="14"/>
  <c r="W184" i="14" s="1"/>
  <c r="R183" i="14"/>
  <c r="U183" i="14" s="1"/>
  <c r="T182" i="14"/>
  <c r="W182" i="14" s="1"/>
  <c r="R181" i="14"/>
  <c r="U181" i="14" s="1"/>
  <c r="T180" i="14"/>
  <c r="W180" i="14" s="1"/>
  <c r="R179" i="14"/>
  <c r="U179" i="14" s="1"/>
  <c r="T178" i="14"/>
  <c r="W178" i="14" s="1"/>
  <c r="R177" i="14"/>
  <c r="R170" i="14"/>
  <c r="U170" i="14" s="1"/>
  <c r="T169" i="14"/>
  <c r="W169" i="14" s="1"/>
  <c r="R168" i="14"/>
  <c r="U168" i="14" s="1"/>
  <c r="T167" i="14"/>
  <c r="W167" i="14" s="1"/>
  <c r="R166" i="14"/>
  <c r="U166" i="14" s="1"/>
  <c r="T165" i="14"/>
  <c r="W165" i="14" s="1"/>
  <c r="R164" i="14"/>
  <c r="U164" i="14" s="1"/>
  <c r="T163" i="14"/>
  <c r="W163" i="14" s="1"/>
  <c r="R162" i="14"/>
  <c r="U162" i="14" s="1"/>
  <c r="T161" i="14"/>
  <c r="W161" i="14" s="1"/>
  <c r="R160" i="14"/>
  <c r="U160" i="14" s="1"/>
  <c r="T159" i="14"/>
  <c r="W159" i="14" s="1"/>
  <c r="R158" i="14"/>
  <c r="U158" i="14" s="1"/>
  <c r="T157" i="14"/>
  <c r="W157" i="14" s="1"/>
  <c r="R156" i="14"/>
  <c r="U156" i="14" s="1"/>
  <c r="R149" i="14"/>
  <c r="U149" i="14" s="1"/>
  <c r="T148" i="14"/>
  <c r="W148" i="14" s="1"/>
  <c r="R147" i="14"/>
  <c r="U147" i="14" s="1"/>
  <c r="T146" i="14"/>
  <c r="W146" i="14" s="1"/>
  <c r="R145" i="14"/>
  <c r="U145" i="14" s="1"/>
  <c r="T144" i="14"/>
  <c r="W144" i="14" s="1"/>
  <c r="R143" i="14"/>
  <c r="U143" i="14" s="1"/>
  <c r="T142" i="14"/>
  <c r="W142" i="14" s="1"/>
  <c r="R141" i="14"/>
  <c r="U141" i="14" s="1"/>
  <c r="T140" i="14"/>
  <c r="W140" i="14" s="1"/>
  <c r="R139" i="14"/>
  <c r="U139" i="14" s="1"/>
  <c r="T138" i="14"/>
  <c r="W138" i="14" s="1"/>
  <c r="R137" i="14"/>
  <c r="U137" i="14" s="1"/>
  <c r="T136" i="14"/>
  <c r="W136" i="14" s="1"/>
  <c r="R135" i="14"/>
  <c r="R128" i="14"/>
  <c r="U128" i="14" s="1"/>
  <c r="T127" i="14"/>
  <c r="W127" i="14" s="1"/>
  <c r="R126" i="14"/>
  <c r="U126" i="14" s="1"/>
  <c r="T125" i="14"/>
  <c r="W125" i="14" s="1"/>
  <c r="R124" i="14"/>
  <c r="U124" i="14" s="1"/>
  <c r="T123" i="14"/>
  <c r="W123" i="14" s="1"/>
  <c r="R122" i="14"/>
  <c r="U122" i="14" s="1"/>
  <c r="T121" i="14"/>
  <c r="W121" i="14" s="1"/>
  <c r="R120" i="14"/>
  <c r="U120" i="14" s="1"/>
  <c r="T119" i="14"/>
  <c r="W119" i="14" s="1"/>
  <c r="R118" i="14"/>
  <c r="U118" i="14" s="1"/>
  <c r="T117" i="14"/>
  <c r="W117" i="14" s="1"/>
  <c r="R116" i="14"/>
  <c r="U116" i="14" s="1"/>
  <c r="T115" i="14"/>
  <c r="W115" i="14" s="1"/>
  <c r="R114" i="14"/>
  <c r="R107" i="14"/>
  <c r="U107" i="14" s="1"/>
  <c r="T106" i="14"/>
  <c r="W106" i="14" s="1"/>
  <c r="R105" i="14"/>
  <c r="U105" i="14" s="1"/>
  <c r="T104" i="14"/>
  <c r="W104" i="14" s="1"/>
  <c r="R103" i="14"/>
  <c r="U103" i="14" s="1"/>
  <c r="T102" i="14"/>
  <c r="W102" i="14" s="1"/>
  <c r="R101" i="14"/>
  <c r="U101" i="14" s="1"/>
  <c r="T100" i="14"/>
  <c r="W100" i="14" s="1"/>
  <c r="R99" i="14"/>
  <c r="U99" i="14" s="1"/>
  <c r="T98" i="14"/>
  <c r="W98" i="14" s="1"/>
  <c r="R97" i="14"/>
  <c r="U97" i="14" s="1"/>
  <c r="T96" i="14"/>
  <c r="W96" i="14" s="1"/>
  <c r="R95" i="14"/>
  <c r="U95" i="14" s="1"/>
  <c r="T94" i="14"/>
  <c r="W94" i="14" s="1"/>
  <c r="R93" i="14"/>
  <c r="U93" i="14" s="1"/>
  <c r="R86" i="14"/>
  <c r="U86" i="14" s="1"/>
  <c r="R82" i="14"/>
  <c r="U82" i="14" s="1"/>
  <c r="R78" i="14"/>
  <c r="U78" i="14" s="1"/>
  <c r="R74" i="14"/>
  <c r="U74" i="14" s="1"/>
  <c r="T64" i="14"/>
  <c r="W64" i="14" s="1"/>
  <c r="T60" i="14"/>
  <c r="W60" i="14" s="1"/>
  <c r="T56" i="14"/>
  <c r="W56" i="14" s="1"/>
  <c r="T52" i="14"/>
  <c r="W52" i="14" s="1"/>
  <c r="R42" i="14"/>
  <c r="U42" i="14" s="1"/>
  <c r="R38" i="14"/>
  <c r="U38" i="14" s="1"/>
  <c r="R34" i="14"/>
  <c r="U34" i="14" s="1"/>
  <c r="R30" i="14"/>
  <c r="T20" i="14"/>
  <c r="W20" i="14" s="1"/>
  <c r="T16" i="14"/>
  <c r="W16" i="14" s="1"/>
  <c r="T12" i="14"/>
  <c r="W12" i="14" s="1"/>
  <c r="R422" i="15"/>
  <c r="U422" i="15" s="1"/>
  <c r="R418" i="15"/>
  <c r="U418" i="15" s="1"/>
  <c r="R414" i="15"/>
  <c r="U414" i="15" s="1"/>
  <c r="R410" i="15"/>
  <c r="U410" i="15" s="1"/>
  <c r="T400" i="15"/>
  <c r="W400" i="15" s="1"/>
  <c r="T396" i="15"/>
  <c r="W396" i="15" s="1"/>
  <c r="T392" i="15"/>
  <c r="W392" i="15" s="1"/>
  <c r="T388" i="15"/>
  <c r="W388" i="15" s="1"/>
  <c r="R378" i="15"/>
  <c r="U378" i="15" s="1"/>
  <c r="R374" i="15"/>
  <c r="U374" i="15" s="1"/>
  <c r="R370" i="15"/>
  <c r="U370" i="15" s="1"/>
  <c r="R366" i="15"/>
  <c r="T356" i="15"/>
  <c r="W356" i="15" s="1"/>
  <c r="T352" i="15"/>
  <c r="W352" i="15" s="1"/>
  <c r="T348" i="15"/>
  <c r="W348" i="15" s="1"/>
  <c r="R338" i="15"/>
  <c r="U338" i="15" s="1"/>
  <c r="R334" i="15"/>
  <c r="U334" i="15" s="1"/>
  <c r="R330" i="15"/>
  <c r="U330" i="15" s="1"/>
  <c r="R326" i="15"/>
  <c r="U326" i="15" s="1"/>
  <c r="T316" i="15"/>
  <c r="W316" i="15" s="1"/>
  <c r="T312" i="15"/>
  <c r="W312" i="15" s="1"/>
  <c r="T308" i="15"/>
  <c r="W308" i="15" s="1"/>
  <c r="T304" i="15"/>
  <c r="W304" i="15" s="1"/>
  <c r="R294" i="15"/>
  <c r="U294" i="15" s="1"/>
  <c r="R290" i="15"/>
  <c r="U290" i="15" s="1"/>
  <c r="R286" i="15"/>
  <c r="U286" i="15" s="1"/>
  <c r="R282" i="15"/>
  <c r="U282" i="15" s="1"/>
  <c r="T272" i="15"/>
  <c r="W272" i="15" s="1"/>
  <c r="T268" i="15"/>
  <c r="W268" i="15" s="1"/>
  <c r="T264" i="15"/>
  <c r="W264" i="15" s="1"/>
  <c r="R254" i="15"/>
  <c r="U254" i="15" s="1"/>
  <c r="R250" i="15"/>
  <c r="U250" i="15" s="1"/>
  <c r="R246" i="15"/>
  <c r="U246" i="15" s="1"/>
  <c r="R242" i="15"/>
  <c r="U242" i="15" s="1"/>
  <c r="T232" i="15"/>
  <c r="W232" i="15" s="1"/>
  <c r="T228" i="15"/>
  <c r="W228" i="15" s="1"/>
  <c r="T224" i="15"/>
  <c r="W224" i="15" s="1"/>
  <c r="T220" i="15"/>
  <c r="W220" i="15" s="1"/>
  <c r="R210" i="15"/>
  <c r="U210" i="15" s="1"/>
  <c r="R206" i="15"/>
  <c r="U206" i="15" s="1"/>
  <c r="R202" i="15"/>
  <c r="U202" i="15" s="1"/>
  <c r="R198" i="15"/>
  <c r="T188" i="15"/>
  <c r="W188" i="15" s="1"/>
  <c r="T184" i="15"/>
  <c r="W184" i="15" s="1"/>
  <c r="T180" i="15"/>
  <c r="W180" i="15" s="1"/>
  <c r="R170" i="15"/>
  <c r="U170" i="15" s="1"/>
  <c r="R166" i="15"/>
  <c r="U166" i="15" s="1"/>
  <c r="R162" i="15"/>
  <c r="U162" i="15" s="1"/>
  <c r="R158" i="15"/>
  <c r="U158" i="15" s="1"/>
  <c r="T148" i="15"/>
  <c r="W148" i="15" s="1"/>
  <c r="T144" i="15"/>
  <c r="W144" i="15" s="1"/>
  <c r="T140" i="15"/>
  <c r="W140" i="15" s="1"/>
  <c r="T136" i="15"/>
  <c r="W136" i="15" s="1"/>
  <c r="R126" i="15"/>
  <c r="U126" i="15" s="1"/>
  <c r="R122" i="15"/>
  <c r="U122" i="15" s="1"/>
  <c r="R118" i="15"/>
  <c r="U118" i="15" s="1"/>
  <c r="R114" i="15"/>
  <c r="U114" i="15" s="1"/>
  <c r="T104" i="15"/>
  <c r="W104" i="15" s="1"/>
  <c r="T100" i="15"/>
  <c r="W100" i="15" s="1"/>
  <c r="T96" i="15"/>
  <c r="W96" i="15" s="1"/>
  <c r="R86" i="15"/>
  <c r="U86" i="15" s="1"/>
  <c r="R82" i="15"/>
  <c r="U82" i="15" s="1"/>
  <c r="R78" i="15"/>
  <c r="U78" i="15" s="1"/>
  <c r="R74" i="15"/>
  <c r="U74" i="15" s="1"/>
  <c r="T64" i="15"/>
  <c r="W64" i="15" s="1"/>
  <c r="T60" i="15"/>
  <c r="W60" i="15" s="1"/>
  <c r="T56" i="15"/>
  <c r="W56" i="15" s="1"/>
  <c r="T52" i="15"/>
  <c r="W52" i="15" s="1"/>
  <c r="R42" i="15"/>
  <c r="U42" i="15" s="1"/>
  <c r="R38" i="15"/>
  <c r="U38" i="15" s="1"/>
  <c r="R34" i="15"/>
  <c r="U34" i="15" s="1"/>
  <c r="R30" i="15"/>
  <c r="U30" i="15" s="1"/>
  <c r="T20" i="15"/>
  <c r="W20" i="15" s="1"/>
  <c r="T16" i="15"/>
  <c r="W16" i="15" s="1"/>
  <c r="T12" i="15"/>
  <c r="W12" i="15" s="1"/>
  <c r="R422" i="16"/>
  <c r="U422" i="16" s="1"/>
  <c r="R418" i="16"/>
  <c r="U418" i="16" s="1"/>
  <c r="R414" i="16"/>
  <c r="U414" i="16" s="1"/>
  <c r="R410" i="16"/>
  <c r="U410" i="16" s="1"/>
  <c r="T400" i="16"/>
  <c r="W400" i="16" s="1"/>
  <c r="T396" i="16"/>
  <c r="W396" i="16" s="1"/>
  <c r="T392" i="16"/>
  <c r="W392" i="16" s="1"/>
  <c r="T388" i="16"/>
  <c r="W388" i="16" s="1"/>
  <c r="R378" i="16"/>
  <c r="U378" i="16" s="1"/>
  <c r="R374" i="16"/>
  <c r="U374" i="16" s="1"/>
  <c r="R370" i="16"/>
  <c r="U370" i="16" s="1"/>
  <c r="R366" i="16"/>
  <c r="U366" i="16" s="1"/>
  <c r="T356" i="16"/>
  <c r="W356" i="16" s="1"/>
  <c r="T352" i="16"/>
  <c r="W352" i="16" s="1"/>
  <c r="R345" i="16"/>
  <c r="U345" i="16" s="1"/>
  <c r="T335" i="16"/>
  <c r="W335" i="16" s="1"/>
  <c r="T331" i="16"/>
  <c r="W331" i="16" s="1"/>
  <c r="T327" i="16"/>
  <c r="W327" i="16" s="1"/>
  <c r="R317" i="16"/>
  <c r="U317" i="16" s="1"/>
  <c r="R313" i="16"/>
  <c r="U313" i="16" s="1"/>
  <c r="R309" i="16"/>
  <c r="U309" i="16" s="1"/>
  <c r="R305" i="16"/>
  <c r="U305" i="16" s="1"/>
  <c r="T295" i="16"/>
  <c r="W295" i="16" s="1"/>
  <c r="T291" i="16"/>
  <c r="W291" i="16" s="1"/>
  <c r="T287" i="16"/>
  <c r="W287" i="16" s="1"/>
  <c r="T283" i="16"/>
  <c r="W283" i="16" s="1"/>
  <c r="R273" i="16"/>
  <c r="U273" i="16" s="1"/>
  <c r="R269" i="16"/>
  <c r="U269" i="16" s="1"/>
  <c r="T266" i="16"/>
  <c r="W266" i="16" s="1"/>
  <c r="T262" i="16"/>
  <c r="W262" i="16" s="1"/>
  <c r="R252" i="16"/>
  <c r="U252" i="16" s="1"/>
  <c r="R248" i="16"/>
  <c r="U248" i="16" s="1"/>
  <c r="R244" i="16"/>
  <c r="U244" i="16" s="1"/>
  <c r="R240" i="16"/>
  <c r="U240" i="16" s="1"/>
  <c r="R233" i="16"/>
  <c r="U233" i="16" s="1"/>
  <c r="T230" i="16"/>
  <c r="W230" i="16" s="1"/>
  <c r="R229" i="16"/>
  <c r="U229" i="16" s="1"/>
  <c r="T226" i="16"/>
  <c r="W226" i="16" s="1"/>
  <c r="R225" i="16"/>
  <c r="U225" i="16" s="1"/>
  <c r="T222" i="16"/>
  <c r="W222" i="16" s="1"/>
  <c r="R221" i="16"/>
  <c r="U221" i="16" s="1"/>
  <c r="R212" i="16"/>
  <c r="U212" i="16" s="1"/>
  <c r="T211" i="16"/>
  <c r="W211" i="16" s="1"/>
  <c r="R208" i="16"/>
  <c r="U208" i="16" s="1"/>
  <c r="T207" i="16"/>
  <c r="W207" i="16" s="1"/>
  <c r="R204" i="16"/>
  <c r="U204" i="16" s="1"/>
  <c r="T203" i="16"/>
  <c r="W203" i="16" s="1"/>
  <c r="R200" i="16"/>
  <c r="U200" i="16" s="1"/>
  <c r="T199" i="16"/>
  <c r="W199" i="16" s="1"/>
  <c r="T190" i="16"/>
  <c r="W190" i="16" s="1"/>
  <c r="R189" i="16"/>
  <c r="U189" i="16" s="1"/>
  <c r="T186" i="16"/>
  <c r="W186" i="16" s="1"/>
  <c r="R185" i="16"/>
  <c r="U185" i="16" s="1"/>
  <c r="T182" i="16"/>
  <c r="W182" i="16" s="1"/>
  <c r="R181" i="16"/>
  <c r="U181" i="16" s="1"/>
  <c r="T178" i="16"/>
  <c r="W178" i="16" s="1"/>
  <c r="R177" i="16"/>
  <c r="R168" i="16"/>
  <c r="U168" i="16" s="1"/>
  <c r="T167" i="16"/>
  <c r="W167" i="16" s="1"/>
  <c r="R164" i="16"/>
  <c r="U164" i="16" s="1"/>
  <c r="T163" i="16"/>
  <c r="W163" i="16" s="1"/>
  <c r="R160" i="16"/>
  <c r="U160" i="16" s="1"/>
  <c r="T159" i="16"/>
  <c r="W159" i="16" s="1"/>
  <c r="R156" i="16"/>
  <c r="R149" i="16"/>
  <c r="U149" i="16" s="1"/>
  <c r="T146" i="16"/>
  <c r="W146" i="16" s="1"/>
  <c r="R145" i="16"/>
  <c r="U145" i="16" s="1"/>
  <c r="T142" i="16"/>
  <c r="W142" i="16" s="1"/>
  <c r="R141" i="16"/>
  <c r="U141" i="16" s="1"/>
  <c r="T138" i="16"/>
  <c r="W138" i="16" s="1"/>
  <c r="R137" i="16"/>
  <c r="U137" i="16" s="1"/>
  <c r="R128" i="16"/>
  <c r="U128" i="16" s="1"/>
  <c r="T127" i="16"/>
  <c r="W127" i="16" s="1"/>
  <c r="R126" i="16"/>
  <c r="U126" i="16" s="1"/>
  <c r="T125" i="16"/>
  <c r="R124" i="16"/>
  <c r="U124" i="16" s="1"/>
  <c r="T123" i="16"/>
  <c r="W123" i="16" s="1"/>
  <c r="R122" i="16"/>
  <c r="U122" i="16" s="1"/>
  <c r="T121" i="16"/>
  <c r="W121" i="16" s="1"/>
  <c r="R120" i="16"/>
  <c r="U120" i="16" s="1"/>
  <c r="T119" i="16"/>
  <c r="W119" i="16" s="1"/>
  <c r="R118" i="16"/>
  <c r="U118" i="16" s="1"/>
  <c r="T117" i="16"/>
  <c r="W117" i="16" s="1"/>
  <c r="R116" i="16"/>
  <c r="U116" i="16" s="1"/>
  <c r="T115" i="16"/>
  <c r="W115" i="16" s="1"/>
  <c r="R114" i="16"/>
  <c r="R107" i="16"/>
  <c r="U107" i="16" s="1"/>
  <c r="T106" i="16"/>
  <c r="W106" i="16" s="1"/>
  <c r="R105" i="16"/>
  <c r="U105" i="16" s="1"/>
  <c r="T104" i="16"/>
  <c r="W104" i="16" s="1"/>
  <c r="R103" i="16"/>
  <c r="U103" i="16" s="1"/>
  <c r="T102" i="16"/>
  <c r="W102" i="16" s="1"/>
  <c r="R101" i="16"/>
  <c r="U101" i="16" s="1"/>
  <c r="T100" i="16"/>
  <c r="W100" i="16" s="1"/>
  <c r="R99" i="16"/>
  <c r="U99" i="16" s="1"/>
  <c r="T98" i="16"/>
  <c r="W98" i="16" s="1"/>
  <c r="R97" i="16"/>
  <c r="U97" i="16" s="1"/>
  <c r="T96" i="16"/>
  <c r="W96" i="16" s="1"/>
  <c r="R95" i="16"/>
  <c r="U95" i="16" s="1"/>
  <c r="T94" i="16"/>
  <c r="W94" i="16" s="1"/>
  <c r="R93" i="16"/>
  <c r="R86" i="16"/>
  <c r="U86" i="16" s="1"/>
  <c r="T85" i="16"/>
  <c r="W85" i="16" s="1"/>
  <c r="R84" i="16"/>
  <c r="U84" i="16" s="1"/>
  <c r="T83" i="16"/>
  <c r="W83" i="16" s="1"/>
  <c r="R82" i="16"/>
  <c r="U82" i="16" s="1"/>
  <c r="T81" i="16"/>
  <c r="W81" i="16" s="1"/>
  <c r="R80" i="16"/>
  <c r="U80" i="16" s="1"/>
  <c r="T79" i="16"/>
  <c r="W79" i="16" s="1"/>
  <c r="R78" i="16"/>
  <c r="U78" i="16" s="1"/>
  <c r="T77" i="16"/>
  <c r="W77" i="16" s="1"/>
  <c r="R76" i="16"/>
  <c r="U76" i="16" s="1"/>
  <c r="T74" i="16"/>
  <c r="W74" i="16" s="1"/>
  <c r="Q70" i="16"/>
  <c r="T44" i="16"/>
  <c r="W44" i="16" s="1"/>
  <c r="T42" i="16"/>
  <c r="W42" i="16" s="1"/>
  <c r="T40" i="16"/>
  <c r="W40" i="16" s="1"/>
  <c r="T38" i="16"/>
  <c r="W38" i="16" s="1"/>
  <c r="T36" i="16"/>
  <c r="W36" i="16" s="1"/>
  <c r="T34" i="16"/>
  <c r="W34" i="16" s="1"/>
  <c r="T32" i="16"/>
  <c r="W32" i="16" s="1"/>
  <c r="Q28" i="16"/>
  <c r="T422" i="17"/>
  <c r="W422" i="17" s="1"/>
  <c r="T420" i="17"/>
  <c r="W420" i="17" s="1"/>
  <c r="T418" i="17"/>
  <c r="W418" i="17" s="1"/>
  <c r="T416" i="17"/>
  <c r="W416" i="17" s="1"/>
  <c r="T414" i="17"/>
  <c r="W414" i="17" s="1"/>
  <c r="T412" i="17"/>
  <c r="W412" i="17" s="1"/>
  <c r="T410" i="17"/>
  <c r="W410" i="17" s="1"/>
  <c r="Q406" i="17"/>
  <c r="T380" i="17"/>
  <c r="W380" i="17" s="1"/>
  <c r="T378" i="17"/>
  <c r="W378" i="17" s="1"/>
  <c r="T376" i="17"/>
  <c r="W376" i="17" s="1"/>
  <c r="T374" i="17"/>
  <c r="W374" i="17" s="1"/>
  <c r="T372" i="17"/>
  <c r="W372" i="17" s="1"/>
  <c r="T370" i="17"/>
  <c r="W370" i="17" s="1"/>
  <c r="T368" i="17"/>
  <c r="W368" i="17" s="1"/>
  <c r="Q364" i="17"/>
  <c r="T338" i="17"/>
  <c r="W338" i="17" s="1"/>
  <c r="T336" i="17"/>
  <c r="W336" i="17" s="1"/>
  <c r="T334" i="17"/>
  <c r="W334" i="17" s="1"/>
  <c r="T332" i="17"/>
  <c r="W332" i="17" s="1"/>
  <c r="T330" i="17"/>
  <c r="W330" i="17" s="1"/>
  <c r="T328" i="17"/>
  <c r="W328" i="17" s="1"/>
  <c r="T326" i="17"/>
  <c r="W326" i="17" s="1"/>
  <c r="Q322" i="17"/>
  <c r="T296" i="17"/>
  <c r="W296" i="17" s="1"/>
  <c r="T294" i="17"/>
  <c r="W294" i="17" s="1"/>
  <c r="T292" i="17"/>
  <c r="W292" i="17" s="1"/>
  <c r="T290" i="17"/>
  <c r="W290" i="17" s="1"/>
  <c r="T288" i="17"/>
  <c r="W288" i="17" s="1"/>
  <c r="T286" i="17"/>
  <c r="W286" i="17" s="1"/>
  <c r="T284" i="17"/>
  <c r="W284" i="17" s="1"/>
  <c r="Q280" i="17"/>
  <c r="T254" i="17"/>
  <c r="W254" i="17" s="1"/>
  <c r="T252" i="17"/>
  <c r="W252" i="17" s="1"/>
  <c r="T250" i="17"/>
  <c r="W250" i="17" s="1"/>
  <c r="T248" i="17"/>
  <c r="W248" i="17" s="1"/>
  <c r="T246" i="17"/>
  <c r="W246" i="17" s="1"/>
  <c r="T244" i="17"/>
  <c r="W244" i="17" s="1"/>
  <c r="T242" i="17"/>
  <c r="W242" i="17" s="1"/>
  <c r="Q238" i="17"/>
  <c r="T212" i="17"/>
  <c r="W212" i="17" s="1"/>
  <c r="T210" i="17"/>
  <c r="W210" i="17" s="1"/>
  <c r="T208" i="17"/>
  <c r="W208" i="17" s="1"/>
  <c r="T206" i="17"/>
  <c r="W206" i="17" s="1"/>
  <c r="T204" i="17"/>
  <c r="W204" i="17" s="1"/>
  <c r="T202" i="17"/>
  <c r="W202" i="17" s="1"/>
  <c r="T200" i="17"/>
  <c r="W200" i="17" s="1"/>
  <c r="Q196" i="17"/>
  <c r="T170" i="17"/>
  <c r="W170" i="17" s="1"/>
  <c r="T168" i="17"/>
  <c r="W168" i="17" s="1"/>
  <c r="T166" i="17"/>
  <c r="W166" i="17" s="1"/>
  <c r="T164" i="17"/>
  <c r="W164" i="17" s="1"/>
  <c r="T162" i="17"/>
  <c r="W162" i="17" s="1"/>
  <c r="T160" i="17"/>
  <c r="W160" i="17" s="1"/>
  <c r="T158" i="17"/>
  <c r="W158" i="17" s="1"/>
  <c r="Q154" i="17"/>
  <c r="T128" i="17"/>
  <c r="W128" i="17" s="1"/>
  <c r="T126" i="17"/>
  <c r="W126" i="17" s="1"/>
  <c r="T124" i="17"/>
  <c r="W124" i="17" s="1"/>
  <c r="T122" i="17"/>
  <c r="W122" i="17" s="1"/>
  <c r="T120" i="17"/>
  <c r="W120" i="17" s="1"/>
  <c r="T118" i="17"/>
  <c r="W118" i="17" s="1"/>
  <c r="T116" i="17"/>
  <c r="W116" i="17" s="1"/>
  <c r="Q112" i="17"/>
  <c r="T86" i="17"/>
  <c r="W86" i="17" s="1"/>
  <c r="T84" i="17"/>
  <c r="W84" i="17" s="1"/>
  <c r="T82" i="17"/>
  <c r="W82" i="17" s="1"/>
  <c r="T80" i="17"/>
  <c r="W80" i="17" s="1"/>
  <c r="T78" i="17"/>
  <c r="W78" i="17" s="1"/>
  <c r="T76" i="17"/>
  <c r="W76" i="17" s="1"/>
  <c r="T74" i="17"/>
  <c r="W74" i="17" s="1"/>
  <c r="Q70" i="17"/>
  <c r="T71" i="16"/>
  <c r="R72" i="16"/>
  <c r="T73" i="16"/>
  <c r="W73" i="16" s="1"/>
  <c r="R74" i="16"/>
  <c r="U74" i="16" s="1"/>
  <c r="T75" i="16"/>
  <c r="W75" i="16" s="1"/>
  <c r="T29" i="16"/>
  <c r="R30" i="16"/>
  <c r="U30" i="16" s="1"/>
  <c r="T31" i="16"/>
  <c r="W31" i="16" s="1"/>
  <c r="R32" i="16"/>
  <c r="U32" i="16" s="1"/>
  <c r="T33" i="16"/>
  <c r="W33" i="16" s="1"/>
  <c r="R34" i="16"/>
  <c r="U34" i="16" s="1"/>
  <c r="T35" i="16"/>
  <c r="W35" i="16" s="1"/>
  <c r="R36" i="16"/>
  <c r="U36" i="16" s="1"/>
  <c r="T37" i="16"/>
  <c r="W37" i="16" s="1"/>
  <c r="R38" i="16"/>
  <c r="U38" i="16" s="1"/>
  <c r="T39" i="16"/>
  <c r="W39" i="16" s="1"/>
  <c r="R40" i="16"/>
  <c r="U40" i="16" s="1"/>
  <c r="T41" i="16"/>
  <c r="W41" i="16" s="1"/>
  <c r="R42" i="16"/>
  <c r="U42" i="16" s="1"/>
  <c r="T43" i="16"/>
  <c r="W43" i="16" s="1"/>
  <c r="R44" i="16"/>
  <c r="U44" i="16" s="1"/>
  <c r="T407" i="17"/>
  <c r="R408" i="17"/>
  <c r="U408" i="17" s="1"/>
  <c r="T409" i="17"/>
  <c r="W409" i="17" s="1"/>
  <c r="R410" i="17"/>
  <c r="U410" i="17" s="1"/>
  <c r="T411" i="17"/>
  <c r="W411" i="17" s="1"/>
  <c r="R412" i="17"/>
  <c r="U412" i="17" s="1"/>
  <c r="T413" i="17"/>
  <c r="W413" i="17" s="1"/>
  <c r="R414" i="17"/>
  <c r="U414" i="17" s="1"/>
  <c r="T415" i="17"/>
  <c r="W415" i="17" s="1"/>
  <c r="R416" i="17"/>
  <c r="U416" i="17" s="1"/>
  <c r="T417" i="17"/>
  <c r="W417" i="17" s="1"/>
  <c r="R418" i="17"/>
  <c r="U418" i="17" s="1"/>
  <c r="T419" i="17"/>
  <c r="W419" i="17" s="1"/>
  <c r="R420" i="17"/>
  <c r="U420" i="17" s="1"/>
  <c r="T421" i="17"/>
  <c r="W421" i="17" s="1"/>
  <c r="R422" i="17"/>
  <c r="U422" i="17" s="1"/>
  <c r="T365" i="17"/>
  <c r="R366" i="17"/>
  <c r="U366" i="17" s="1"/>
  <c r="T367" i="17"/>
  <c r="W367" i="17" s="1"/>
  <c r="R368" i="17"/>
  <c r="U368" i="17" s="1"/>
  <c r="T369" i="17"/>
  <c r="W369" i="17" s="1"/>
  <c r="R370" i="17"/>
  <c r="U370" i="17" s="1"/>
  <c r="T371" i="17"/>
  <c r="W371" i="17" s="1"/>
  <c r="R372" i="17"/>
  <c r="U372" i="17" s="1"/>
  <c r="T373" i="17"/>
  <c r="W373" i="17" s="1"/>
  <c r="R374" i="17"/>
  <c r="U374" i="17" s="1"/>
  <c r="T375" i="17"/>
  <c r="W375" i="17" s="1"/>
  <c r="R376" i="17"/>
  <c r="U376" i="17" s="1"/>
  <c r="T377" i="17"/>
  <c r="W377" i="17" s="1"/>
  <c r="R378" i="17"/>
  <c r="U378" i="17" s="1"/>
  <c r="T379" i="17"/>
  <c r="W379" i="17" s="1"/>
  <c r="R380" i="17"/>
  <c r="U380" i="17" s="1"/>
  <c r="T323" i="17"/>
  <c r="R324" i="17"/>
  <c r="U324" i="17" s="1"/>
  <c r="T325" i="17"/>
  <c r="W325" i="17" s="1"/>
  <c r="R326" i="17"/>
  <c r="U326" i="17" s="1"/>
  <c r="T327" i="17"/>
  <c r="W327" i="17" s="1"/>
  <c r="R328" i="17"/>
  <c r="U328" i="17" s="1"/>
  <c r="T329" i="17"/>
  <c r="W329" i="17" s="1"/>
  <c r="R330" i="17"/>
  <c r="U330" i="17" s="1"/>
  <c r="T331" i="17"/>
  <c r="W331" i="17" s="1"/>
  <c r="R332" i="17"/>
  <c r="U332" i="17" s="1"/>
  <c r="T333" i="17"/>
  <c r="W333" i="17" s="1"/>
  <c r="R334" i="17"/>
  <c r="U334" i="17" s="1"/>
  <c r="T335" i="17"/>
  <c r="W335" i="17" s="1"/>
  <c r="R336" i="17"/>
  <c r="U336" i="17" s="1"/>
  <c r="T337" i="17"/>
  <c r="W337" i="17" s="1"/>
  <c r="R338" i="17"/>
  <c r="U338" i="17" s="1"/>
  <c r="T281" i="17"/>
  <c r="W281" i="17" s="1"/>
  <c r="R282" i="17"/>
  <c r="U282" i="17" s="1"/>
  <c r="T283" i="17"/>
  <c r="W283" i="17" s="1"/>
  <c r="R284" i="17"/>
  <c r="U284" i="17" s="1"/>
  <c r="T285" i="17"/>
  <c r="W285" i="17"/>
  <c r="R286" i="17"/>
  <c r="U286" i="17" s="1"/>
  <c r="T287" i="17"/>
  <c r="W287" i="17" s="1"/>
  <c r="R288" i="17"/>
  <c r="U288" i="17" s="1"/>
  <c r="T289" i="17"/>
  <c r="W289" i="17" s="1"/>
  <c r="R290" i="17"/>
  <c r="U290" i="17" s="1"/>
  <c r="T291" i="17"/>
  <c r="W291" i="17" s="1"/>
  <c r="R292" i="17"/>
  <c r="U292" i="17" s="1"/>
  <c r="T293" i="17"/>
  <c r="W293" i="17" s="1"/>
  <c r="R294" i="17"/>
  <c r="U294" i="17" s="1"/>
  <c r="T295" i="17"/>
  <c r="W295" i="17" s="1"/>
  <c r="R296" i="17"/>
  <c r="U296" i="17" s="1"/>
  <c r="T239" i="17"/>
  <c r="W239" i="17" s="1"/>
  <c r="R240" i="17"/>
  <c r="U240" i="17" s="1"/>
  <c r="T241" i="17"/>
  <c r="W241" i="17" s="1"/>
  <c r="R242" i="17"/>
  <c r="U242" i="17" s="1"/>
  <c r="T243" i="17"/>
  <c r="W243" i="17" s="1"/>
  <c r="R244" i="17"/>
  <c r="U244" i="17" s="1"/>
  <c r="T245" i="17"/>
  <c r="W245" i="17" s="1"/>
  <c r="R246" i="17"/>
  <c r="U246" i="17" s="1"/>
  <c r="T247" i="17"/>
  <c r="W247" i="17" s="1"/>
  <c r="R248" i="17"/>
  <c r="U248" i="17" s="1"/>
  <c r="T249" i="17"/>
  <c r="W249" i="17" s="1"/>
  <c r="R250" i="17"/>
  <c r="U250" i="17" s="1"/>
  <c r="T251" i="17"/>
  <c r="W251" i="17" s="1"/>
  <c r="R252" i="17"/>
  <c r="U252" i="17" s="1"/>
  <c r="T253" i="17"/>
  <c r="W253" i="17" s="1"/>
  <c r="R254" i="17"/>
  <c r="U254" i="17" s="1"/>
  <c r="T197" i="17"/>
  <c r="W197" i="17" s="1"/>
  <c r="R198" i="17"/>
  <c r="U198" i="17" s="1"/>
  <c r="T199" i="17"/>
  <c r="W199" i="17" s="1"/>
  <c r="R200" i="17"/>
  <c r="U200" i="17" s="1"/>
  <c r="T201" i="17"/>
  <c r="W201" i="17" s="1"/>
  <c r="R202" i="17"/>
  <c r="U202" i="17" s="1"/>
  <c r="T203" i="17"/>
  <c r="W203" i="17" s="1"/>
  <c r="R204" i="17"/>
  <c r="U204" i="17" s="1"/>
  <c r="T205" i="17"/>
  <c r="W205" i="17" s="1"/>
  <c r="R206" i="17"/>
  <c r="U206" i="17" s="1"/>
  <c r="T207" i="17"/>
  <c r="W207" i="17" s="1"/>
  <c r="R208" i="17"/>
  <c r="U208" i="17" s="1"/>
  <c r="T209" i="17"/>
  <c r="W209" i="17" s="1"/>
  <c r="R210" i="17"/>
  <c r="U210" i="17" s="1"/>
  <c r="T211" i="17"/>
  <c r="W211" i="17" s="1"/>
  <c r="R212" i="17"/>
  <c r="U212" i="17" s="1"/>
  <c r="T155" i="17"/>
  <c r="R156" i="17"/>
  <c r="U156" i="17" s="1"/>
  <c r="T157" i="17"/>
  <c r="W157" i="17" s="1"/>
  <c r="R158" i="17"/>
  <c r="U158" i="17" s="1"/>
  <c r="T159" i="17"/>
  <c r="W159" i="17" s="1"/>
  <c r="R160" i="17"/>
  <c r="U160" i="17" s="1"/>
  <c r="T161" i="17"/>
  <c r="W161" i="17" s="1"/>
  <c r="R162" i="17"/>
  <c r="U162" i="17" s="1"/>
  <c r="T163" i="17"/>
  <c r="W163" i="17" s="1"/>
  <c r="R164" i="17"/>
  <c r="U164" i="17" s="1"/>
  <c r="T165" i="17"/>
  <c r="W165" i="17" s="1"/>
  <c r="R166" i="17"/>
  <c r="U166" i="17" s="1"/>
  <c r="T167" i="17"/>
  <c r="W167" i="17" s="1"/>
  <c r="R168" i="17"/>
  <c r="U168" i="17" s="1"/>
  <c r="T169" i="17"/>
  <c r="W169" i="17" s="1"/>
  <c r="R170" i="17"/>
  <c r="U170" i="17" s="1"/>
  <c r="T113" i="17"/>
  <c r="W113" i="17" s="1"/>
  <c r="R114" i="17"/>
  <c r="U114" i="17" s="1"/>
  <c r="T115" i="17"/>
  <c r="W115" i="17" s="1"/>
  <c r="R116" i="17"/>
  <c r="U116" i="17" s="1"/>
  <c r="T117" i="17"/>
  <c r="W117" i="17" s="1"/>
  <c r="R118" i="17"/>
  <c r="U118" i="17" s="1"/>
  <c r="T119" i="17"/>
  <c r="W119" i="17" s="1"/>
  <c r="R120" i="17"/>
  <c r="U120" i="17" s="1"/>
  <c r="T121" i="17"/>
  <c r="W121" i="17" s="1"/>
  <c r="R122" i="17"/>
  <c r="U122" i="17" s="1"/>
  <c r="T123" i="17"/>
  <c r="W123" i="17" s="1"/>
  <c r="R124" i="17"/>
  <c r="U124" i="17" s="1"/>
  <c r="T125" i="17"/>
  <c r="W125" i="17" s="1"/>
  <c r="R126" i="17"/>
  <c r="U126" i="17" s="1"/>
  <c r="T127" i="17"/>
  <c r="W127" i="17" s="1"/>
  <c r="R128" i="17"/>
  <c r="U128" i="17" s="1"/>
  <c r="T71" i="17"/>
  <c r="R72" i="17"/>
  <c r="U72" i="17" s="1"/>
  <c r="T73" i="17"/>
  <c r="W73" i="17" s="1"/>
  <c r="R74" i="17"/>
  <c r="U74" i="17" s="1"/>
  <c r="T75" i="17"/>
  <c r="W75" i="17" s="1"/>
  <c r="R76" i="17"/>
  <c r="U76" i="17" s="1"/>
  <c r="T77" i="17"/>
  <c r="W77" i="17" s="1"/>
  <c r="R78" i="17"/>
  <c r="U78" i="17" s="1"/>
  <c r="T79" i="17"/>
  <c r="W79" i="17" s="1"/>
  <c r="R80" i="17"/>
  <c r="U80" i="17" s="1"/>
  <c r="T81" i="17"/>
  <c r="W81" i="17" s="1"/>
  <c r="R82" i="17"/>
  <c r="U82" i="17" s="1"/>
  <c r="T83" i="17"/>
  <c r="W83" i="17" s="1"/>
  <c r="R84" i="17"/>
  <c r="U84" i="17" s="1"/>
  <c r="T85" i="17"/>
  <c r="W85" i="17" s="1"/>
  <c r="R86" i="17"/>
  <c r="U86" i="17" s="1"/>
  <c r="Q49" i="16"/>
  <c r="Q427" i="17"/>
  <c r="Q385" i="17"/>
  <c r="Q343" i="17"/>
  <c r="Q301" i="17"/>
  <c r="Q259" i="17"/>
  <c r="Q217" i="17"/>
  <c r="Q175" i="17"/>
  <c r="Q133" i="17"/>
  <c r="Q91" i="17"/>
  <c r="Q49" i="17"/>
  <c r="T302" i="20"/>
  <c r="W302" i="20" s="1"/>
  <c r="R303" i="20"/>
  <c r="U303" i="20" s="1"/>
  <c r="T304" i="20"/>
  <c r="W304" i="20" s="1"/>
  <c r="R305" i="20"/>
  <c r="U305" i="20" s="1"/>
  <c r="T306" i="20"/>
  <c r="W306" i="20" s="1"/>
  <c r="R307" i="20"/>
  <c r="U307" i="20" s="1"/>
  <c r="T308" i="20"/>
  <c r="W308" i="20" s="1"/>
  <c r="R309" i="20"/>
  <c r="U309" i="20" s="1"/>
  <c r="T310" i="20"/>
  <c r="W310" i="20" s="1"/>
  <c r="R311" i="20"/>
  <c r="U311" i="20" s="1"/>
  <c r="T312" i="20"/>
  <c r="W312" i="20" s="1"/>
  <c r="R313" i="20"/>
  <c r="U313" i="20" s="1"/>
  <c r="T260" i="20"/>
  <c r="R261" i="20"/>
  <c r="U261" i="20" s="1"/>
  <c r="T262" i="20"/>
  <c r="W262" i="20" s="1"/>
  <c r="R263" i="20"/>
  <c r="U263" i="20" s="1"/>
  <c r="T264" i="20"/>
  <c r="W264" i="20" s="1"/>
  <c r="R265" i="20"/>
  <c r="U265" i="20" s="1"/>
  <c r="T266" i="20"/>
  <c r="W266" i="20" s="1"/>
  <c r="R267" i="20"/>
  <c r="U267" i="20" s="1"/>
  <c r="T268" i="20"/>
  <c r="W268" i="20" s="1"/>
  <c r="R269" i="20"/>
  <c r="U269" i="20" s="1"/>
  <c r="T270" i="20"/>
  <c r="W270" i="20" s="1"/>
  <c r="R271" i="20"/>
  <c r="U271" i="20" s="1"/>
  <c r="T272" i="20"/>
  <c r="W272" i="20" s="1"/>
  <c r="R273" i="20"/>
  <c r="U273" i="20" s="1"/>
  <c r="T274" i="20"/>
  <c r="W274" i="20" s="1"/>
  <c r="R275" i="20"/>
  <c r="U275" i="20" s="1"/>
  <c r="R44" i="17"/>
  <c r="U44" i="17" s="1"/>
  <c r="T43" i="17"/>
  <c r="W43" i="17" s="1"/>
  <c r="R42" i="17"/>
  <c r="U42" i="17" s="1"/>
  <c r="T41" i="17"/>
  <c r="W41" i="17" s="1"/>
  <c r="R40" i="17"/>
  <c r="U40" i="17" s="1"/>
  <c r="T39" i="17"/>
  <c r="W39" i="17" s="1"/>
  <c r="R38" i="17"/>
  <c r="U38" i="17" s="1"/>
  <c r="T37" i="17"/>
  <c r="W37" i="17" s="1"/>
  <c r="R36" i="17"/>
  <c r="U36" i="17" s="1"/>
  <c r="T35" i="17"/>
  <c r="W35" i="17" s="1"/>
  <c r="R34" i="17"/>
  <c r="U34" i="17" s="1"/>
  <c r="T33" i="17"/>
  <c r="W33" i="17" s="1"/>
  <c r="R32" i="17"/>
  <c r="U32" i="17" s="1"/>
  <c r="T31" i="17"/>
  <c r="W31" i="17" s="1"/>
  <c r="R30" i="17"/>
  <c r="R23" i="17"/>
  <c r="U23" i="17" s="1"/>
  <c r="T22" i="17"/>
  <c r="W22" i="17" s="1"/>
  <c r="R21" i="17"/>
  <c r="U21" i="17" s="1"/>
  <c r="T20" i="17"/>
  <c r="W20" i="17" s="1"/>
  <c r="R19" i="17"/>
  <c r="U19" i="17" s="1"/>
  <c r="T18" i="17"/>
  <c r="W18" i="17" s="1"/>
  <c r="R17" i="17"/>
  <c r="U17" i="17" s="1"/>
  <c r="T16" i="17"/>
  <c r="W16" i="17" s="1"/>
  <c r="R15" i="17"/>
  <c r="U15" i="17" s="1"/>
  <c r="T14" i="17"/>
  <c r="W14" i="17" s="1"/>
  <c r="R13" i="17"/>
  <c r="U13" i="17" s="1"/>
  <c r="T12" i="17"/>
  <c r="W12" i="17" s="1"/>
  <c r="R11" i="17"/>
  <c r="U11" i="17" s="1"/>
  <c r="T10" i="17"/>
  <c r="W10" i="17" s="1"/>
  <c r="R9" i="17"/>
  <c r="U9" i="17" s="1"/>
  <c r="R422" i="18"/>
  <c r="U422" i="18" s="1"/>
  <c r="T421" i="18"/>
  <c r="W421" i="18" s="1"/>
  <c r="R420" i="18"/>
  <c r="U420" i="18" s="1"/>
  <c r="T419" i="18"/>
  <c r="W419" i="18" s="1"/>
  <c r="R418" i="18"/>
  <c r="U418" i="18" s="1"/>
  <c r="T417" i="18"/>
  <c r="W417" i="18" s="1"/>
  <c r="R416" i="18"/>
  <c r="U416" i="18" s="1"/>
  <c r="T415" i="18"/>
  <c r="W415" i="18" s="1"/>
  <c r="R414" i="18"/>
  <c r="U414" i="18" s="1"/>
  <c r="T413" i="18"/>
  <c r="W413" i="18" s="1"/>
  <c r="R412" i="18"/>
  <c r="U412" i="18" s="1"/>
  <c r="T411" i="18"/>
  <c r="W411" i="18" s="1"/>
  <c r="R410" i="18"/>
  <c r="U410" i="18" s="1"/>
  <c r="T409" i="18"/>
  <c r="W409" i="18" s="1"/>
  <c r="R408" i="18"/>
  <c r="R401" i="18"/>
  <c r="U401" i="18" s="1"/>
  <c r="T400" i="18"/>
  <c r="W400" i="18" s="1"/>
  <c r="R399" i="18"/>
  <c r="U399" i="18" s="1"/>
  <c r="T398" i="18"/>
  <c r="W398" i="18" s="1"/>
  <c r="R397" i="18"/>
  <c r="U397" i="18" s="1"/>
  <c r="T396" i="18"/>
  <c r="W396" i="18" s="1"/>
  <c r="R395" i="18"/>
  <c r="U395" i="18" s="1"/>
  <c r="T394" i="18"/>
  <c r="W394" i="18" s="1"/>
  <c r="R393" i="18"/>
  <c r="U393" i="18" s="1"/>
  <c r="T392" i="18"/>
  <c r="W392" i="18" s="1"/>
  <c r="R391" i="18"/>
  <c r="U391" i="18" s="1"/>
  <c r="T390" i="18"/>
  <c r="W390" i="18" s="1"/>
  <c r="R389" i="18"/>
  <c r="U389" i="18" s="1"/>
  <c r="T388" i="18"/>
  <c r="W388" i="18" s="1"/>
  <c r="R387" i="18"/>
  <c r="U387" i="18" s="1"/>
  <c r="R380" i="18"/>
  <c r="U380" i="18" s="1"/>
  <c r="T379" i="18"/>
  <c r="W379" i="18" s="1"/>
  <c r="R378" i="18"/>
  <c r="U378" i="18" s="1"/>
  <c r="T377" i="18"/>
  <c r="W377" i="18" s="1"/>
  <c r="R376" i="18"/>
  <c r="U376" i="18" s="1"/>
  <c r="T375" i="18"/>
  <c r="W375" i="18" s="1"/>
  <c r="R374" i="18"/>
  <c r="U374" i="18" s="1"/>
  <c r="T373" i="18"/>
  <c r="W373" i="18" s="1"/>
  <c r="R372" i="18"/>
  <c r="U372" i="18" s="1"/>
  <c r="T371" i="18"/>
  <c r="W371" i="18" s="1"/>
  <c r="R370" i="18"/>
  <c r="U370" i="18" s="1"/>
  <c r="T369" i="18"/>
  <c r="W369" i="18" s="1"/>
  <c r="R368" i="18"/>
  <c r="U368" i="18" s="1"/>
  <c r="T367" i="18"/>
  <c r="W367" i="18" s="1"/>
  <c r="R366" i="18"/>
  <c r="U366" i="18" s="1"/>
  <c r="R359" i="18"/>
  <c r="U359" i="18" s="1"/>
  <c r="T358" i="18"/>
  <c r="W358" i="18" s="1"/>
  <c r="R357" i="18"/>
  <c r="U357" i="18" s="1"/>
  <c r="T356" i="18"/>
  <c r="W356" i="18" s="1"/>
  <c r="R355" i="18"/>
  <c r="U355" i="18" s="1"/>
  <c r="T354" i="18"/>
  <c r="W354" i="18" s="1"/>
  <c r="R353" i="18"/>
  <c r="U353" i="18" s="1"/>
  <c r="T352" i="18"/>
  <c r="W352" i="18" s="1"/>
  <c r="R351" i="18"/>
  <c r="U351" i="18" s="1"/>
  <c r="T350" i="18"/>
  <c r="W350" i="18" s="1"/>
  <c r="R349" i="18"/>
  <c r="U349" i="18" s="1"/>
  <c r="T348" i="18"/>
  <c r="W348" i="18" s="1"/>
  <c r="R347" i="18"/>
  <c r="U347" i="18" s="1"/>
  <c r="T346" i="18"/>
  <c r="W346" i="18" s="1"/>
  <c r="R345" i="18"/>
  <c r="U345" i="18" s="1"/>
  <c r="R338" i="18"/>
  <c r="U338" i="18" s="1"/>
  <c r="T337" i="18"/>
  <c r="W337" i="18" s="1"/>
  <c r="R336" i="18"/>
  <c r="U336" i="18" s="1"/>
  <c r="T335" i="18"/>
  <c r="W335" i="18" s="1"/>
  <c r="R334" i="18"/>
  <c r="U334" i="18" s="1"/>
  <c r="T333" i="18"/>
  <c r="W333" i="18" s="1"/>
  <c r="R332" i="18"/>
  <c r="U332" i="18" s="1"/>
  <c r="T331" i="18"/>
  <c r="W331" i="18" s="1"/>
  <c r="R330" i="18"/>
  <c r="U330" i="18" s="1"/>
  <c r="T329" i="18"/>
  <c r="W329" i="18" s="1"/>
  <c r="R328" i="18"/>
  <c r="U328" i="18" s="1"/>
  <c r="T327" i="18"/>
  <c r="W327" i="18" s="1"/>
  <c r="R326" i="18"/>
  <c r="U326" i="18" s="1"/>
  <c r="T325" i="18"/>
  <c r="W325" i="18" s="1"/>
  <c r="R324" i="18"/>
  <c r="U324" i="18" s="1"/>
  <c r="R317" i="18"/>
  <c r="U317" i="18" s="1"/>
  <c r="T316" i="18"/>
  <c r="W316" i="18" s="1"/>
  <c r="R315" i="18"/>
  <c r="U315" i="18" s="1"/>
  <c r="T314" i="18"/>
  <c r="W314" i="18" s="1"/>
  <c r="R313" i="18"/>
  <c r="U313" i="18" s="1"/>
  <c r="T312" i="18"/>
  <c r="W312" i="18" s="1"/>
  <c r="R311" i="18"/>
  <c r="U311" i="18" s="1"/>
  <c r="T310" i="18"/>
  <c r="W310" i="18" s="1"/>
  <c r="R309" i="18"/>
  <c r="U309" i="18" s="1"/>
  <c r="T308" i="18"/>
  <c r="W308" i="18" s="1"/>
  <c r="R307" i="18"/>
  <c r="U307" i="18" s="1"/>
  <c r="T306" i="18"/>
  <c r="W306" i="18" s="1"/>
  <c r="R305" i="18"/>
  <c r="U305" i="18" s="1"/>
  <c r="T304" i="18"/>
  <c r="W304" i="18" s="1"/>
  <c r="R303" i="18"/>
  <c r="R296" i="18"/>
  <c r="U296" i="18" s="1"/>
  <c r="T295" i="18"/>
  <c r="W295" i="18" s="1"/>
  <c r="R294" i="18"/>
  <c r="U294" i="18" s="1"/>
  <c r="T293" i="18"/>
  <c r="W293" i="18" s="1"/>
  <c r="R292" i="18"/>
  <c r="U292" i="18" s="1"/>
  <c r="T291" i="18"/>
  <c r="W291" i="18" s="1"/>
  <c r="R290" i="18"/>
  <c r="U290" i="18" s="1"/>
  <c r="T289" i="18"/>
  <c r="W289" i="18" s="1"/>
  <c r="R288" i="18"/>
  <c r="U288" i="18" s="1"/>
  <c r="T287" i="18"/>
  <c r="W287" i="18" s="1"/>
  <c r="R286" i="18"/>
  <c r="U286" i="18" s="1"/>
  <c r="T285" i="18"/>
  <c r="W285" i="18" s="1"/>
  <c r="R284" i="18"/>
  <c r="U284" i="18" s="1"/>
  <c r="T283" i="18"/>
  <c r="W283" i="18" s="1"/>
  <c r="R282" i="18"/>
  <c r="U282" i="18" s="1"/>
  <c r="R275" i="18"/>
  <c r="U275" i="18" s="1"/>
  <c r="T274" i="18"/>
  <c r="W274" i="18" s="1"/>
  <c r="R273" i="18"/>
  <c r="U273" i="18" s="1"/>
  <c r="T272" i="18"/>
  <c r="W272" i="18" s="1"/>
  <c r="R271" i="18"/>
  <c r="U271" i="18" s="1"/>
  <c r="T270" i="18"/>
  <c r="W270" i="18" s="1"/>
  <c r="R269" i="18"/>
  <c r="U269" i="18" s="1"/>
  <c r="T268" i="18"/>
  <c r="W268" i="18" s="1"/>
  <c r="R267" i="18"/>
  <c r="U267" i="18" s="1"/>
  <c r="T266" i="18"/>
  <c r="W266" i="18" s="1"/>
  <c r="R265" i="18"/>
  <c r="U265" i="18" s="1"/>
  <c r="T264" i="18"/>
  <c r="W264" i="18" s="1"/>
  <c r="R263" i="18"/>
  <c r="U263" i="18" s="1"/>
  <c r="T262" i="18"/>
  <c r="W262" i="18" s="1"/>
  <c r="R261" i="18"/>
  <c r="U261" i="18" s="1"/>
  <c r="R254" i="18"/>
  <c r="U254" i="18" s="1"/>
  <c r="T253" i="18"/>
  <c r="W253" i="18" s="1"/>
  <c r="R252" i="18"/>
  <c r="U252" i="18" s="1"/>
  <c r="T251" i="18"/>
  <c r="W251" i="18" s="1"/>
  <c r="R250" i="18"/>
  <c r="U250" i="18" s="1"/>
  <c r="T249" i="18"/>
  <c r="W249" i="18" s="1"/>
  <c r="R248" i="18"/>
  <c r="U248" i="18" s="1"/>
  <c r="T247" i="18"/>
  <c r="W247" i="18" s="1"/>
  <c r="R246" i="18"/>
  <c r="U246" i="18" s="1"/>
  <c r="T245" i="18"/>
  <c r="W245" i="18" s="1"/>
  <c r="R244" i="18"/>
  <c r="U244" i="18" s="1"/>
  <c r="T243" i="18"/>
  <c r="W243" i="18" s="1"/>
  <c r="R242" i="18"/>
  <c r="U242" i="18" s="1"/>
  <c r="T241" i="18"/>
  <c r="W241" i="18" s="1"/>
  <c r="R240" i="18"/>
  <c r="R233" i="18"/>
  <c r="U233" i="18" s="1"/>
  <c r="T232" i="18"/>
  <c r="W232" i="18" s="1"/>
  <c r="R231" i="18"/>
  <c r="U231" i="18" s="1"/>
  <c r="T230" i="18"/>
  <c r="W230" i="18" s="1"/>
  <c r="R229" i="18"/>
  <c r="U229" i="18" s="1"/>
  <c r="T228" i="18"/>
  <c r="W228" i="18" s="1"/>
  <c r="R227" i="18"/>
  <c r="U227" i="18" s="1"/>
  <c r="T226" i="18"/>
  <c r="W226" i="18" s="1"/>
  <c r="R225" i="18"/>
  <c r="U225" i="18" s="1"/>
  <c r="T224" i="18"/>
  <c r="W224" i="18" s="1"/>
  <c r="R223" i="18"/>
  <c r="U223" i="18" s="1"/>
  <c r="T222" i="18"/>
  <c r="W222" i="18" s="1"/>
  <c r="R221" i="18"/>
  <c r="U221" i="18" s="1"/>
  <c r="T220" i="18"/>
  <c r="W220" i="18" s="1"/>
  <c r="R219" i="18"/>
  <c r="R212" i="18"/>
  <c r="U212" i="18" s="1"/>
  <c r="T211" i="18"/>
  <c r="W211" i="18" s="1"/>
  <c r="R210" i="18"/>
  <c r="U210" i="18" s="1"/>
  <c r="T209" i="18"/>
  <c r="W209" i="18" s="1"/>
  <c r="R208" i="18"/>
  <c r="U208" i="18" s="1"/>
  <c r="T207" i="18"/>
  <c r="W207" i="18" s="1"/>
  <c r="R206" i="18"/>
  <c r="U206" i="18" s="1"/>
  <c r="T205" i="18"/>
  <c r="W205" i="18" s="1"/>
  <c r="R204" i="18"/>
  <c r="U204" i="18" s="1"/>
  <c r="T203" i="18"/>
  <c r="W203" i="18" s="1"/>
  <c r="R202" i="18"/>
  <c r="U202" i="18" s="1"/>
  <c r="T201" i="18"/>
  <c r="W201" i="18" s="1"/>
  <c r="R200" i="18"/>
  <c r="U200" i="18" s="1"/>
  <c r="T199" i="18"/>
  <c r="W199" i="18" s="1"/>
  <c r="R198" i="18"/>
  <c r="U198" i="18" s="1"/>
  <c r="R191" i="18"/>
  <c r="U191" i="18" s="1"/>
  <c r="T190" i="18"/>
  <c r="W190" i="18" s="1"/>
  <c r="R189" i="18"/>
  <c r="U189" i="18" s="1"/>
  <c r="T188" i="18"/>
  <c r="W188" i="18" s="1"/>
  <c r="R187" i="18"/>
  <c r="U187" i="18" s="1"/>
  <c r="T186" i="18"/>
  <c r="W186" i="18" s="1"/>
  <c r="R185" i="18"/>
  <c r="U185" i="18" s="1"/>
  <c r="T184" i="18"/>
  <c r="W184" i="18" s="1"/>
  <c r="R183" i="18"/>
  <c r="U183" i="18" s="1"/>
  <c r="T182" i="18"/>
  <c r="W182" i="18" s="1"/>
  <c r="R181" i="18"/>
  <c r="U181" i="18" s="1"/>
  <c r="T180" i="18"/>
  <c r="W180" i="18" s="1"/>
  <c r="R179" i="18"/>
  <c r="U179" i="18" s="1"/>
  <c r="T178" i="18"/>
  <c r="W178" i="18" s="1"/>
  <c r="R177" i="18"/>
  <c r="U177" i="18" s="1"/>
  <c r="R170" i="18"/>
  <c r="U170" i="18" s="1"/>
  <c r="T169" i="18"/>
  <c r="W169" i="18" s="1"/>
  <c r="R168" i="18"/>
  <c r="U168" i="18" s="1"/>
  <c r="T167" i="18"/>
  <c r="W167" i="18" s="1"/>
  <c r="R166" i="18"/>
  <c r="U166" i="18" s="1"/>
  <c r="T165" i="18"/>
  <c r="W165" i="18" s="1"/>
  <c r="R164" i="18"/>
  <c r="U164" i="18" s="1"/>
  <c r="T163" i="18"/>
  <c r="W163" i="18" s="1"/>
  <c r="R162" i="18"/>
  <c r="U162" i="18" s="1"/>
  <c r="T161" i="18"/>
  <c r="W161" i="18" s="1"/>
  <c r="R160" i="18"/>
  <c r="U160" i="18" s="1"/>
  <c r="T159" i="18"/>
  <c r="W159" i="18" s="1"/>
  <c r="R158" i="18"/>
  <c r="U158" i="18" s="1"/>
  <c r="T157" i="18"/>
  <c r="W157" i="18" s="1"/>
  <c r="R156" i="18"/>
  <c r="U156" i="18" s="1"/>
  <c r="R149" i="18"/>
  <c r="U149" i="18" s="1"/>
  <c r="T148" i="18"/>
  <c r="W148" i="18" s="1"/>
  <c r="R147" i="18"/>
  <c r="U147" i="18" s="1"/>
  <c r="T146" i="18"/>
  <c r="W146" i="18" s="1"/>
  <c r="R145" i="18"/>
  <c r="U145" i="18" s="1"/>
  <c r="T144" i="18"/>
  <c r="W144" i="18" s="1"/>
  <c r="R143" i="18"/>
  <c r="U143" i="18" s="1"/>
  <c r="T142" i="18"/>
  <c r="W142" i="18" s="1"/>
  <c r="R141" i="18"/>
  <c r="U141" i="18" s="1"/>
  <c r="T140" i="18"/>
  <c r="W140" i="18" s="1"/>
  <c r="R139" i="18"/>
  <c r="U139" i="18" s="1"/>
  <c r="T138" i="18"/>
  <c r="W138" i="18" s="1"/>
  <c r="R137" i="18"/>
  <c r="U137" i="18" s="1"/>
  <c r="T136" i="18"/>
  <c r="W136" i="18" s="1"/>
  <c r="R135" i="18"/>
  <c r="U135" i="18" s="1"/>
  <c r="R128" i="18"/>
  <c r="U128" i="18" s="1"/>
  <c r="T127" i="18"/>
  <c r="W127" i="18" s="1"/>
  <c r="R126" i="18"/>
  <c r="U126" i="18" s="1"/>
  <c r="T125" i="18"/>
  <c r="W125" i="18" s="1"/>
  <c r="R124" i="18"/>
  <c r="U124" i="18" s="1"/>
  <c r="T123" i="18"/>
  <c r="W123" i="18" s="1"/>
  <c r="R122" i="18"/>
  <c r="U122" i="18" s="1"/>
  <c r="T121" i="18"/>
  <c r="W121" i="18" s="1"/>
  <c r="R120" i="18"/>
  <c r="U120" i="18" s="1"/>
  <c r="T119" i="18"/>
  <c r="W119" i="18" s="1"/>
  <c r="R118" i="18"/>
  <c r="U118" i="18" s="1"/>
  <c r="T117" i="18"/>
  <c r="W117" i="18" s="1"/>
  <c r="R116" i="18"/>
  <c r="U116" i="18" s="1"/>
  <c r="T115" i="18"/>
  <c r="W115" i="18" s="1"/>
  <c r="R114" i="18"/>
  <c r="U114" i="18" s="1"/>
  <c r="R107" i="18"/>
  <c r="U107" i="18" s="1"/>
  <c r="T106" i="18"/>
  <c r="W106" i="18" s="1"/>
  <c r="R105" i="18"/>
  <c r="U105" i="18" s="1"/>
  <c r="T104" i="18"/>
  <c r="W104" i="18" s="1"/>
  <c r="R103" i="18"/>
  <c r="U103" i="18" s="1"/>
  <c r="T102" i="18"/>
  <c r="W102" i="18" s="1"/>
  <c r="R101" i="18"/>
  <c r="U101" i="18" s="1"/>
  <c r="T100" i="18"/>
  <c r="W100" i="18" s="1"/>
  <c r="R99" i="18"/>
  <c r="U99" i="18" s="1"/>
  <c r="T98" i="18"/>
  <c r="W98" i="18" s="1"/>
  <c r="R97" i="18"/>
  <c r="U97" i="18" s="1"/>
  <c r="T96" i="18"/>
  <c r="W96" i="18" s="1"/>
  <c r="R95" i="18"/>
  <c r="U95" i="18" s="1"/>
  <c r="T94" i="18"/>
  <c r="W94" i="18" s="1"/>
  <c r="R93" i="18"/>
  <c r="R86" i="18"/>
  <c r="U86" i="18" s="1"/>
  <c r="T85" i="18"/>
  <c r="W85" i="18" s="1"/>
  <c r="R84" i="18"/>
  <c r="U84" i="18" s="1"/>
  <c r="T83" i="18"/>
  <c r="W83" i="18" s="1"/>
  <c r="R82" i="18"/>
  <c r="U82" i="18" s="1"/>
  <c r="T81" i="18"/>
  <c r="W81" i="18" s="1"/>
  <c r="R80" i="18"/>
  <c r="U80" i="18" s="1"/>
  <c r="T79" i="18"/>
  <c r="W79" i="18" s="1"/>
  <c r="R78" i="18"/>
  <c r="U78" i="18" s="1"/>
  <c r="T77" i="18"/>
  <c r="W77" i="18" s="1"/>
  <c r="R76" i="18"/>
  <c r="U76" i="18" s="1"/>
  <c r="T75" i="18"/>
  <c r="W75" i="18" s="1"/>
  <c r="R74" i="18"/>
  <c r="U74" i="18" s="1"/>
  <c r="T73" i="18"/>
  <c r="W73" i="18" s="1"/>
  <c r="R72" i="18"/>
  <c r="U72" i="18" s="1"/>
  <c r="R65" i="18"/>
  <c r="U65" i="18" s="1"/>
  <c r="T64" i="18"/>
  <c r="W64" i="18" s="1"/>
  <c r="R63" i="18"/>
  <c r="U63" i="18" s="1"/>
  <c r="T62" i="18"/>
  <c r="W62" i="18" s="1"/>
  <c r="R61" i="18"/>
  <c r="U61" i="18" s="1"/>
  <c r="T60" i="18"/>
  <c r="W60" i="18" s="1"/>
  <c r="R59" i="18"/>
  <c r="U59" i="18" s="1"/>
  <c r="T58" i="18"/>
  <c r="W58" i="18" s="1"/>
  <c r="R57" i="18"/>
  <c r="U57" i="18" s="1"/>
  <c r="T56" i="18"/>
  <c r="W56" i="18" s="1"/>
  <c r="R55" i="18"/>
  <c r="U55" i="18" s="1"/>
  <c r="T54" i="18"/>
  <c r="W54" i="18" s="1"/>
  <c r="R53" i="18"/>
  <c r="U53" i="18" s="1"/>
  <c r="T52" i="18"/>
  <c r="W52" i="18" s="1"/>
  <c r="R51" i="18"/>
  <c r="R44" i="18"/>
  <c r="U44" i="18" s="1"/>
  <c r="T43" i="18"/>
  <c r="W43" i="18" s="1"/>
  <c r="R42" i="18"/>
  <c r="U42" i="18" s="1"/>
  <c r="T41" i="18"/>
  <c r="W41" i="18" s="1"/>
  <c r="R40" i="18"/>
  <c r="U40" i="18" s="1"/>
  <c r="T39" i="18"/>
  <c r="W39" i="18" s="1"/>
  <c r="R38" i="18"/>
  <c r="U38" i="18" s="1"/>
  <c r="T37" i="18"/>
  <c r="W37" i="18" s="1"/>
  <c r="R36" i="18"/>
  <c r="U36" i="18" s="1"/>
  <c r="T35" i="18"/>
  <c r="W35" i="18" s="1"/>
  <c r="R34" i="18"/>
  <c r="U34" i="18" s="1"/>
  <c r="T33" i="18"/>
  <c r="W33" i="18" s="1"/>
  <c r="R32" i="18"/>
  <c r="U32" i="18" s="1"/>
  <c r="T31" i="18"/>
  <c r="W31" i="18" s="1"/>
  <c r="R30" i="18"/>
  <c r="U30" i="18" s="1"/>
  <c r="R23" i="18"/>
  <c r="U23" i="18" s="1"/>
  <c r="T22" i="18"/>
  <c r="W22" i="18" s="1"/>
  <c r="R21" i="18"/>
  <c r="U21" i="18" s="1"/>
  <c r="T20" i="18"/>
  <c r="W20" i="18" s="1"/>
  <c r="R19" i="18"/>
  <c r="U19" i="18" s="1"/>
  <c r="T18" i="18"/>
  <c r="W18" i="18" s="1"/>
  <c r="R17" i="18"/>
  <c r="U17" i="18" s="1"/>
  <c r="T16" i="18"/>
  <c r="W16" i="18" s="1"/>
  <c r="R15" i="18"/>
  <c r="U15" i="18" s="1"/>
  <c r="T14" i="18"/>
  <c r="W14" i="18" s="1"/>
  <c r="R13" i="18"/>
  <c r="U13" i="18" s="1"/>
  <c r="T12" i="18"/>
  <c r="W12" i="18" s="1"/>
  <c r="R11" i="18"/>
  <c r="U11" i="18" s="1"/>
  <c r="T10" i="18"/>
  <c r="W10" i="18" s="1"/>
  <c r="R9" i="18"/>
  <c r="U9" i="18" s="1"/>
  <c r="R422" i="19"/>
  <c r="U422" i="19" s="1"/>
  <c r="T421" i="19"/>
  <c r="W421" i="19" s="1"/>
  <c r="R420" i="19"/>
  <c r="U420" i="19" s="1"/>
  <c r="T419" i="19"/>
  <c r="W419" i="19" s="1"/>
  <c r="R418" i="19"/>
  <c r="U418" i="19" s="1"/>
  <c r="T417" i="19"/>
  <c r="W417" i="19" s="1"/>
  <c r="R416" i="19"/>
  <c r="U416" i="19" s="1"/>
  <c r="T415" i="19"/>
  <c r="W415" i="19" s="1"/>
  <c r="R414" i="19"/>
  <c r="U414" i="19" s="1"/>
  <c r="T413" i="19"/>
  <c r="W413" i="19" s="1"/>
  <c r="R412" i="19"/>
  <c r="U412" i="19" s="1"/>
  <c r="T411" i="19"/>
  <c r="W411" i="19" s="1"/>
  <c r="R410" i="19"/>
  <c r="U410" i="19" s="1"/>
  <c r="T409" i="19"/>
  <c r="W409" i="19" s="1"/>
  <c r="R408" i="19"/>
  <c r="U408" i="19" s="1"/>
  <c r="R401" i="19"/>
  <c r="U401" i="19" s="1"/>
  <c r="T400" i="19"/>
  <c r="W400" i="19" s="1"/>
  <c r="R399" i="19"/>
  <c r="U399" i="19" s="1"/>
  <c r="T398" i="19"/>
  <c r="W398" i="19" s="1"/>
  <c r="R397" i="19"/>
  <c r="U397" i="19" s="1"/>
  <c r="T396" i="19"/>
  <c r="W396" i="19" s="1"/>
  <c r="R395" i="19"/>
  <c r="U395" i="19" s="1"/>
  <c r="T394" i="19"/>
  <c r="W394" i="19" s="1"/>
  <c r="R393" i="19"/>
  <c r="U393" i="19" s="1"/>
  <c r="T392" i="19"/>
  <c r="W392" i="19" s="1"/>
  <c r="R391" i="19"/>
  <c r="U391" i="19" s="1"/>
  <c r="T390" i="19"/>
  <c r="W390" i="19" s="1"/>
  <c r="R389" i="19"/>
  <c r="U389" i="19" s="1"/>
  <c r="T388" i="19"/>
  <c r="W388" i="19" s="1"/>
  <c r="R387" i="19"/>
  <c r="U387" i="19" s="1"/>
  <c r="R380" i="19"/>
  <c r="U380" i="19" s="1"/>
  <c r="T379" i="19"/>
  <c r="W379" i="19" s="1"/>
  <c r="R378" i="19"/>
  <c r="U378" i="19" s="1"/>
  <c r="T377" i="19"/>
  <c r="W377" i="19" s="1"/>
  <c r="R376" i="19"/>
  <c r="U376" i="19" s="1"/>
  <c r="T375" i="19"/>
  <c r="W375" i="19" s="1"/>
  <c r="R374" i="19"/>
  <c r="U374" i="19" s="1"/>
  <c r="T373" i="19"/>
  <c r="W373" i="19" s="1"/>
  <c r="R372" i="19"/>
  <c r="U372" i="19" s="1"/>
  <c r="T371" i="19"/>
  <c r="W371" i="19" s="1"/>
  <c r="R370" i="19"/>
  <c r="U370" i="19" s="1"/>
  <c r="T369" i="19"/>
  <c r="W369" i="19" s="1"/>
  <c r="R368" i="19"/>
  <c r="U368" i="19" s="1"/>
  <c r="T367" i="19"/>
  <c r="W367" i="19" s="1"/>
  <c r="R366" i="19"/>
  <c r="U366" i="19" s="1"/>
  <c r="R359" i="19"/>
  <c r="U359" i="19" s="1"/>
  <c r="T358" i="19"/>
  <c r="W358" i="19" s="1"/>
  <c r="R357" i="19"/>
  <c r="U357" i="19" s="1"/>
  <c r="T356" i="19"/>
  <c r="W356" i="19" s="1"/>
  <c r="R355" i="19"/>
  <c r="U355" i="19" s="1"/>
  <c r="T354" i="19"/>
  <c r="W354" i="19" s="1"/>
  <c r="R353" i="19"/>
  <c r="U353" i="19" s="1"/>
  <c r="T352" i="19"/>
  <c r="W352" i="19" s="1"/>
  <c r="R351" i="19"/>
  <c r="U351" i="19" s="1"/>
  <c r="T350" i="19"/>
  <c r="W350" i="19" s="1"/>
  <c r="R349" i="19"/>
  <c r="U349" i="19" s="1"/>
  <c r="T348" i="19"/>
  <c r="W348" i="19" s="1"/>
  <c r="R347" i="19"/>
  <c r="U347" i="19" s="1"/>
  <c r="T346" i="19"/>
  <c r="W346" i="19" s="1"/>
  <c r="R345" i="19"/>
  <c r="U345" i="19" s="1"/>
  <c r="R338" i="19"/>
  <c r="U338" i="19" s="1"/>
  <c r="T337" i="19"/>
  <c r="W337" i="19" s="1"/>
  <c r="R336" i="19"/>
  <c r="U336" i="19" s="1"/>
  <c r="T335" i="19"/>
  <c r="W335" i="19" s="1"/>
  <c r="R334" i="19"/>
  <c r="U334" i="19" s="1"/>
  <c r="T333" i="19"/>
  <c r="W333" i="19" s="1"/>
  <c r="R332" i="19"/>
  <c r="U332" i="19" s="1"/>
  <c r="T331" i="19"/>
  <c r="W331" i="19" s="1"/>
  <c r="R330" i="19"/>
  <c r="U330" i="19" s="1"/>
  <c r="T329" i="19"/>
  <c r="W329" i="19" s="1"/>
  <c r="R328" i="19"/>
  <c r="U328" i="19" s="1"/>
  <c r="T327" i="19"/>
  <c r="W327" i="19" s="1"/>
  <c r="R326" i="19"/>
  <c r="U326" i="19" s="1"/>
  <c r="T325" i="19"/>
  <c r="W325" i="19" s="1"/>
  <c r="R324" i="19"/>
  <c r="R317" i="19"/>
  <c r="U317" i="19" s="1"/>
  <c r="T316" i="19"/>
  <c r="W316" i="19" s="1"/>
  <c r="R315" i="19"/>
  <c r="U315" i="19" s="1"/>
  <c r="T314" i="19"/>
  <c r="W314" i="19" s="1"/>
  <c r="R313" i="19"/>
  <c r="U313" i="19" s="1"/>
  <c r="T312" i="19"/>
  <c r="W312" i="19" s="1"/>
  <c r="R311" i="19"/>
  <c r="U311" i="19" s="1"/>
  <c r="T310" i="19"/>
  <c r="W310" i="19" s="1"/>
  <c r="R309" i="19"/>
  <c r="U309" i="19" s="1"/>
  <c r="T308" i="19"/>
  <c r="W308" i="19" s="1"/>
  <c r="R307" i="19"/>
  <c r="U307" i="19" s="1"/>
  <c r="T306" i="19"/>
  <c r="W306" i="19" s="1"/>
  <c r="R305" i="19"/>
  <c r="U305" i="19" s="1"/>
  <c r="T304" i="19"/>
  <c r="W304" i="19" s="1"/>
  <c r="R303" i="19"/>
  <c r="U303" i="19" s="1"/>
  <c r="R296" i="19"/>
  <c r="U296" i="19" s="1"/>
  <c r="T295" i="19"/>
  <c r="W295" i="19" s="1"/>
  <c r="R294" i="19"/>
  <c r="U294" i="19" s="1"/>
  <c r="T293" i="19"/>
  <c r="W293" i="19" s="1"/>
  <c r="R292" i="19"/>
  <c r="U292" i="19" s="1"/>
  <c r="T291" i="19"/>
  <c r="W291" i="19" s="1"/>
  <c r="R290" i="19"/>
  <c r="U290" i="19" s="1"/>
  <c r="T289" i="19"/>
  <c r="W289" i="19" s="1"/>
  <c r="R288" i="19"/>
  <c r="U288" i="19" s="1"/>
  <c r="T287" i="19"/>
  <c r="W287" i="19" s="1"/>
  <c r="R286" i="19"/>
  <c r="U286" i="19" s="1"/>
  <c r="T285" i="19"/>
  <c r="W285" i="19" s="1"/>
  <c r="R284" i="19"/>
  <c r="U284" i="19" s="1"/>
  <c r="T283" i="19"/>
  <c r="W283" i="19" s="1"/>
  <c r="R282" i="19"/>
  <c r="R275" i="19"/>
  <c r="U275" i="19" s="1"/>
  <c r="T274" i="19"/>
  <c r="W274" i="19" s="1"/>
  <c r="R273" i="19"/>
  <c r="U273" i="19" s="1"/>
  <c r="T272" i="19"/>
  <c r="W272" i="19" s="1"/>
  <c r="R271" i="19"/>
  <c r="U271" i="19" s="1"/>
  <c r="T270" i="19"/>
  <c r="W270" i="19" s="1"/>
  <c r="R269" i="19"/>
  <c r="U269" i="19" s="1"/>
  <c r="T268" i="19"/>
  <c r="W268" i="19" s="1"/>
  <c r="R267" i="19"/>
  <c r="U267" i="19" s="1"/>
  <c r="T266" i="19"/>
  <c r="W266" i="19" s="1"/>
  <c r="R265" i="19"/>
  <c r="U265" i="19" s="1"/>
  <c r="T264" i="19"/>
  <c r="W264" i="19" s="1"/>
  <c r="R263" i="19"/>
  <c r="U263" i="19" s="1"/>
  <c r="T262" i="19"/>
  <c r="W262" i="19" s="1"/>
  <c r="R261" i="19"/>
  <c r="U261" i="19" s="1"/>
  <c r="R254" i="19"/>
  <c r="U254" i="19" s="1"/>
  <c r="T253" i="19"/>
  <c r="W253" i="19" s="1"/>
  <c r="R252" i="19"/>
  <c r="U252" i="19" s="1"/>
  <c r="T251" i="19"/>
  <c r="W251" i="19" s="1"/>
  <c r="R250" i="19"/>
  <c r="U250" i="19" s="1"/>
  <c r="T249" i="19"/>
  <c r="W249" i="19" s="1"/>
  <c r="R248" i="19"/>
  <c r="U248" i="19" s="1"/>
  <c r="T247" i="19"/>
  <c r="W247" i="19" s="1"/>
  <c r="R246" i="19"/>
  <c r="U246" i="19" s="1"/>
  <c r="T245" i="19"/>
  <c r="W245" i="19" s="1"/>
  <c r="R244" i="19"/>
  <c r="U244" i="19" s="1"/>
  <c r="T243" i="19"/>
  <c r="W243" i="19" s="1"/>
  <c r="R242" i="19"/>
  <c r="U242" i="19" s="1"/>
  <c r="T241" i="19"/>
  <c r="W241" i="19" s="1"/>
  <c r="R240" i="19"/>
  <c r="U240" i="19" s="1"/>
  <c r="R233" i="19"/>
  <c r="U233" i="19" s="1"/>
  <c r="T232" i="19"/>
  <c r="W232" i="19" s="1"/>
  <c r="R231" i="19"/>
  <c r="U231" i="19" s="1"/>
  <c r="T230" i="19"/>
  <c r="W230" i="19" s="1"/>
  <c r="R229" i="19"/>
  <c r="U229" i="19" s="1"/>
  <c r="T228" i="19"/>
  <c r="W228" i="19" s="1"/>
  <c r="R227" i="19"/>
  <c r="U227" i="19" s="1"/>
  <c r="T226" i="19"/>
  <c r="W226" i="19" s="1"/>
  <c r="R225" i="19"/>
  <c r="U225" i="19" s="1"/>
  <c r="T224" i="19"/>
  <c r="W224" i="19" s="1"/>
  <c r="R223" i="19"/>
  <c r="U223" i="19" s="1"/>
  <c r="T222" i="19"/>
  <c r="W222" i="19" s="1"/>
  <c r="R221" i="19"/>
  <c r="U221" i="19" s="1"/>
  <c r="T220" i="19"/>
  <c r="W220" i="19" s="1"/>
  <c r="R219" i="19"/>
  <c r="U219" i="19" s="1"/>
  <c r="R212" i="19"/>
  <c r="U212" i="19" s="1"/>
  <c r="T211" i="19"/>
  <c r="W211" i="19" s="1"/>
  <c r="R210" i="19"/>
  <c r="U210" i="19" s="1"/>
  <c r="T209" i="19"/>
  <c r="W209" i="19" s="1"/>
  <c r="R208" i="19"/>
  <c r="U208" i="19" s="1"/>
  <c r="T207" i="19"/>
  <c r="W207" i="19" s="1"/>
  <c r="R206" i="19"/>
  <c r="U206" i="19" s="1"/>
  <c r="T205" i="19"/>
  <c r="W205" i="19" s="1"/>
  <c r="R204" i="19"/>
  <c r="U204" i="19" s="1"/>
  <c r="T203" i="19"/>
  <c r="W203" i="19" s="1"/>
  <c r="R202" i="19"/>
  <c r="U202" i="19" s="1"/>
  <c r="T201" i="19"/>
  <c r="W201" i="19" s="1"/>
  <c r="R200" i="19"/>
  <c r="U200" i="19" s="1"/>
  <c r="T199" i="19"/>
  <c r="W199" i="19" s="1"/>
  <c r="R198" i="19"/>
  <c r="U198" i="19" s="1"/>
  <c r="R191" i="19"/>
  <c r="U191" i="19" s="1"/>
  <c r="T190" i="19"/>
  <c r="W190" i="19" s="1"/>
  <c r="R189" i="19"/>
  <c r="U189" i="19" s="1"/>
  <c r="T188" i="19"/>
  <c r="W188" i="19" s="1"/>
  <c r="R187" i="19"/>
  <c r="U187" i="19" s="1"/>
  <c r="T186" i="19"/>
  <c r="W186" i="19" s="1"/>
  <c r="R185" i="19"/>
  <c r="U185" i="19" s="1"/>
  <c r="T184" i="19"/>
  <c r="W184" i="19" s="1"/>
  <c r="R183" i="19"/>
  <c r="U183" i="19" s="1"/>
  <c r="T182" i="19"/>
  <c r="W182" i="19" s="1"/>
  <c r="R181" i="19"/>
  <c r="U181" i="19" s="1"/>
  <c r="T180" i="19"/>
  <c r="W180" i="19" s="1"/>
  <c r="R179" i="19"/>
  <c r="U179" i="19" s="1"/>
  <c r="T178" i="19"/>
  <c r="W178" i="19" s="1"/>
  <c r="R177" i="19"/>
  <c r="U177" i="19" s="1"/>
  <c r="R170" i="19"/>
  <c r="U170" i="19" s="1"/>
  <c r="T169" i="19"/>
  <c r="W169" i="19" s="1"/>
  <c r="R168" i="19"/>
  <c r="U168" i="19" s="1"/>
  <c r="T167" i="19"/>
  <c r="W167" i="19" s="1"/>
  <c r="R166" i="19"/>
  <c r="U166" i="19" s="1"/>
  <c r="T165" i="19"/>
  <c r="W165" i="19" s="1"/>
  <c r="R164" i="19"/>
  <c r="U164" i="19" s="1"/>
  <c r="T163" i="19"/>
  <c r="W163" i="19" s="1"/>
  <c r="R162" i="19"/>
  <c r="U162" i="19" s="1"/>
  <c r="T161" i="19"/>
  <c r="W161" i="19" s="1"/>
  <c r="R160" i="19"/>
  <c r="U160" i="19" s="1"/>
  <c r="T159" i="19"/>
  <c r="W159" i="19" s="1"/>
  <c r="R158" i="19"/>
  <c r="U158" i="19" s="1"/>
  <c r="T157" i="19"/>
  <c r="W157" i="19" s="1"/>
  <c r="R156" i="19"/>
  <c r="U156" i="19" s="1"/>
  <c r="R149" i="19"/>
  <c r="U149" i="19" s="1"/>
  <c r="T148" i="19"/>
  <c r="W148" i="19" s="1"/>
  <c r="R147" i="19"/>
  <c r="U147" i="19" s="1"/>
  <c r="T146" i="19"/>
  <c r="W146" i="19" s="1"/>
  <c r="R145" i="19"/>
  <c r="U145" i="19" s="1"/>
  <c r="T144" i="19"/>
  <c r="W144" i="19" s="1"/>
  <c r="R143" i="19"/>
  <c r="U143" i="19" s="1"/>
  <c r="T142" i="19"/>
  <c r="W142" i="19" s="1"/>
  <c r="R141" i="19"/>
  <c r="U141" i="19" s="1"/>
  <c r="T140" i="19"/>
  <c r="W140" i="19" s="1"/>
  <c r="R139" i="19"/>
  <c r="U139" i="19" s="1"/>
  <c r="T138" i="19"/>
  <c r="W138" i="19" s="1"/>
  <c r="R137" i="19"/>
  <c r="U137" i="19" s="1"/>
  <c r="T136" i="19"/>
  <c r="W136" i="19" s="1"/>
  <c r="R135" i="19"/>
  <c r="U135" i="19" s="1"/>
  <c r="Q280" i="20"/>
  <c r="T281" i="20"/>
  <c r="W281" i="20" s="1"/>
  <c r="R282" i="20"/>
  <c r="T283" i="20"/>
  <c r="W283" i="20" s="1"/>
  <c r="R284" i="20"/>
  <c r="U284" i="20" s="1"/>
  <c r="T285" i="20"/>
  <c r="W285" i="20" s="1"/>
  <c r="R286" i="20"/>
  <c r="U286" i="20" s="1"/>
  <c r="T287" i="20"/>
  <c r="W287" i="20" s="1"/>
  <c r="R288" i="20"/>
  <c r="U288" i="20" s="1"/>
  <c r="T289" i="20"/>
  <c r="W289" i="20" s="1"/>
  <c r="R290" i="20"/>
  <c r="U290" i="20" s="1"/>
  <c r="T291" i="20"/>
  <c r="W291" i="20" s="1"/>
  <c r="R292" i="20"/>
  <c r="U292" i="20" s="1"/>
  <c r="T293" i="20"/>
  <c r="W293" i="20" s="1"/>
  <c r="R294" i="20"/>
  <c r="U294" i="20" s="1"/>
  <c r="T295" i="20"/>
  <c r="W295" i="20" s="1"/>
  <c r="R296" i="20"/>
  <c r="U296" i="20" s="1"/>
  <c r="R119" i="19"/>
  <c r="U119" i="19" s="1"/>
  <c r="T118" i="19"/>
  <c r="W118" i="19" s="1"/>
  <c r="R117" i="19"/>
  <c r="U117" i="19" s="1"/>
  <c r="T116" i="19"/>
  <c r="W116" i="19" s="1"/>
  <c r="R115" i="19"/>
  <c r="U115" i="19" s="1"/>
  <c r="T114" i="19"/>
  <c r="W114" i="19" s="1"/>
  <c r="T107" i="19"/>
  <c r="W107" i="19" s="1"/>
  <c r="R106" i="19"/>
  <c r="U106" i="19" s="1"/>
  <c r="T105" i="19"/>
  <c r="W105" i="19" s="1"/>
  <c r="R104" i="19"/>
  <c r="U104" i="19" s="1"/>
  <c r="T103" i="19"/>
  <c r="W103" i="19" s="1"/>
  <c r="R102" i="19"/>
  <c r="U102" i="19" s="1"/>
  <c r="T101" i="19"/>
  <c r="W101" i="19" s="1"/>
  <c r="R100" i="19"/>
  <c r="U100" i="19" s="1"/>
  <c r="T99" i="19"/>
  <c r="W99" i="19" s="1"/>
  <c r="R98" i="19"/>
  <c r="U98" i="19" s="1"/>
  <c r="T97" i="19"/>
  <c r="W97" i="19" s="1"/>
  <c r="R96" i="19"/>
  <c r="U96" i="19" s="1"/>
  <c r="T95" i="19"/>
  <c r="W95" i="19" s="1"/>
  <c r="R94" i="19"/>
  <c r="U94" i="19" s="1"/>
  <c r="T93" i="19"/>
  <c r="W93" i="19" s="1"/>
  <c r="T86" i="19"/>
  <c r="W86" i="19" s="1"/>
  <c r="R85" i="19"/>
  <c r="U85" i="19" s="1"/>
  <c r="T84" i="19"/>
  <c r="W84" i="19" s="1"/>
  <c r="R83" i="19"/>
  <c r="U83" i="19" s="1"/>
  <c r="T82" i="19"/>
  <c r="W82" i="19" s="1"/>
  <c r="R81" i="19"/>
  <c r="U81" i="19" s="1"/>
  <c r="T80" i="19"/>
  <c r="W80" i="19" s="1"/>
  <c r="R79" i="19"/>
  <c r="U79" i="19" s="1"/>
  <c r="T78" i="19"/>
  <c r="W78" i="19" s="1"/>
  <c r="R77" i="19"/>
  <c r="U77" i="19" s="1"/>
  <c r="T76" i="19"/>
  <c r="W76" i="19" s="1"/>
  <c r="R75" i="19"/>
  <c r="U75" i="19" s="1"/>
  <c r="T74" i="19"/>
  <c r="W74" i="19" s="1"/>
  <c r="R73" i="19"/>
  <c r="U73" i="19" s="1"/>
  <c r="T72" i="19"/>
  <c r="W72" i="19" s="1"/>
  <c r="T65" i="19"/>
  <c r="W65" i="19" s="1"/>
  <c r="R64" i="19"/>
  <c r="U64" i="19" s="1"/>
  <c r="T63" i="19"/>
  <c r="W63" i="19" s="1"/>
  <c r="R62" i="19"/>
  <c r="U62" i="19" s="1"/>
  <c r="T61" i="19"/>
  <c r="W61" i="19" s="1"/>
  <c r="R60" i="19"/>
  <c r="U60" i="19" s="1"/>
  <c r="T59" i="19"/>
  <c r="W59" i="19" s="1"/>
  <c r="R58" i="19"/>
  <c r="U58" i="19" s="1"/>
  <c r="T57" i="19"/>
  <c r="W57" i="19" s="1"/>
  <c r="R56" i="19"/>
  <c r="U56" i="19" s="1"/>
  <c r="T55" i="19"/>
  <c r="W55" i="19" s="1"/>
  <c r="R54" i="19"/>
  <c r="U54" i="19" s="1"/>
  <c r="T53" i="19"/>
  <c r="W53" i="19" s="1"/>
  <c r="R52" i="19"/>
  <c r="U52" i="19" s="1"/>
  <c r="T51" i="19"/>
  <c r="W51" i="19" s="1"/>
  <c r="T44" i="19"/>
  <c r="W44" i="19" s="1"/>
  <c r="R43" i="19"/>
  <c r="U43" i="19" s="1"/>
  <c r="T42" i="19"/>
  <c r="W42" i="19" s="1"/>
  <c r="R41" i="19"/>
  <c r="U41" i="19" s="1"/>
  <c r="T40" i="19"/>
  <c r="W40" i="19" s="1"/>
  <c r="R39" i="19"/>
  <c r="U39" i="19" s="1"/>
  <c r="T38" i="19"/>
  <c r="W38" i="19" s="1"/>
  <c r="R37" i="19"/>
  <c r="U37" i="19" s="1"/>
  <c r="T36" i="19"/>
  <c r="W36" i="19" s="1"/>
  <c r="R35" i="19"/>
  <c r="U35" i="19" s="1"/>
  <c r="T34" i="19"/>
  <c r="W34" i="19" s="1"/>
  <c r="R33" i="19"/>
  <c r="U33" i="19" s="1"/>
  <c r="T32" i="19"/>
  <c r="W32" i="19" s="1"/>
  <c r="R31" i="19"/>
  <c r="U31" i="19" s="1"/>
  <c r="T30" i="19"/>
  <c r="W30" i="19" s="1"/>
  <c r="T23" i="19"/>
  <c r="W23" i="19" s="1"/>
  <c r="R22" i="19"/>
  <c r="U22" i="19" s="1"/>
  <c r="T21" i="19"/>
  <c r="W21" i="19" s="1"/>
  <c r="R20" i="19"/>
  <c r="U20" i="19" s="1"/>
  <c r="T19" i="19"/>
  <c r="W19" i="19" s="1"/>
  <c r="R18" i="19"/>
  <c r="U18" i="19" s="1"/>
  <c r="T17" i="19"/>
  <c r="W17" i="19" s="1"/>
  <c r="R16" i="19"/>
  <c r="U16" i="19" s="1"/>
  <c r="T15" i="19"/>
  <c r="W15" i="19" s="1"/>
  <c r="R14" i="19"/>
  <c r="U14" i="19" s="1"/>
  <c r="T13" i="19"/>
  <c r="W13" i="19" s="1"/>
  <c r="R12" i="19"/>
  <c r="U12" i="19" s="1"/>
  <c r="T11" i="19"/>
  <c r="W11" i="19" s="1"/>
  <c r="R10" i="19"/>
  <c r="U10" i="19" s="1"/>
  <c r="T9" i="19"/>
  <c r="T422" i="20"/>
  <c r="W422" i="20" s="1"/>
  <c r="R421" i="20"/>
  <c r="U421" i="20" s="1"/>
  <c r="T420" i="20"/>
  <c r="W420" i="20" s="1"/>
  <c r="R419" i="20"/>
  <c r="U419" i="20" s="1"/>
  <c r="T418" i="20"/>
  <c r="W418" i="20" s="1"/>
  <c r="R417" i="20"/>
  <c r="U417" i="20" s="1"/>
  <c r="T416" i="20"/>
  <c r="W416" i="20" s="1"/>
  <c r="R415" i="20"/>
  <c r="U415" i="20" s="1"/>
  <c r="T414" i="20"/>
  <c r="W414" i="20" s="1"/>
  <c r="R413" i="20"/>
  <c r="U413" i="20" s="1"/>
  <c r="T412" i="20"/>
  <c r="W412" i="20" s="1"/>
  <c r="R411" i="20"/>
  <c r="U411" i="20" s="1"/>
  <c r="T410" i="20"/>
  <c r="W410" i="20" s="1"/>
  <c r="R409" i="20"/>
  <c r="U409" i="20" s="1"/>
  <c r="T408" i="20"/>
  <c r="T401" i="20"/>
  <c r="W401" i="20" s="1"/>
  <c r="R400" i="20"/>
  <c r="U400" i="20" s="1"/>
  <c r="T399" i="20"/>
  <c r="W399" i="20" s="1"/>
  <c r="R398" i="20"/>
  <c r="U398" i="20" s="1"/>
  <c r="T397" i="20"/>
  <c r="W397" i="20" s="1"/>
  <c r="R396" i="20"/>
  <c r="U396" i="20" s="1"/>
  <c r="T395" i="20"/>
  <c r="W395" i="20" s="1"/>
  <c r="R394" i="20"/>
  <c r="U394" i="20" s="1"/>
  <c r="T393" i="20"/>
  <c r="W393" i="20" s="1"/>
  <c r="R392" i="20"/>
  <c r="U392" i="20" s="1"/>
  <c r="T391" i="20"/>
  <c r="W391" i="20" s="1"/>
  <c r="R390" i="20"/>
  <c r="U390" i="20" s="1"/>
  <c r="T389" i="20"/>
  <c r="W389" i="20" s="1"/>
  <c r="R388" i="20"/>
  <c r="U388" i="20" s="1"/>
  <c r="T387" i="20"/>
  <c r="W387" i="20" s="1"/>
  <c r="T380" i="20"/>
  <c r="W380" i="20" s="1"/>
  <c r="R379" i="20"/>
  <c r="U379" i="20" s="1"/>
  <c r="T378" i="20"/>
  <c r="W378" i="20" s="1"/>
  <c r="R377" i="20"/>
  <c r="U377" i="20" s="1"/>
  <c r="T376" i="20"/>
  <c r="W376" i="20" s="1"/>
  <c r="R375" i="20"/>
  <c r="U375" i="20" s="1"/>
  <c r="T374" i="20"/>
  <c r="W374" i="20" s="1"/>
  <c r="R373" i="20"/>
  <c r="U373" i="20" s="1"/>
  <c r="T372" i="20"/>
  <c r="W372" i="20" s="1"/>
  <c r="R371" i="20"/>
  <c r="U371" i="20" s="1"/>
  <c r="T370" i="20"/>
  <c r="W370" i="20" s="1"/>
  <c r="R369" i="20"/>
  <c r="U369" i="20" s="1"/>
  <c r="T368" i="20"/>
  <c r="W368" i="20" s="1"/>
  <c r="R367" i="20"/>
  <c r="U367" i="20" s="1"/>
  <c r="T366" i="20"/>
  <c r="T359" i="20"/>
  <c r="W359" i="20" s="1"/>
  <c r="R358" i="20"/>
  <c r="U358" i="20" s="1"/>
  <c r="T357" i="20"/>
  <c r="W357" i="20" s="1"/>
  <c r="R356" i="20"/>
  <c r="U356" i="20" s="1"/>
  <c r="T355" i="20"/>
  <c r="W355" i="20" s="1"/>
  <c r="R354" i="20"/>
  <c r="U354" i="20" s="1"/>
  <c r="T353" i="20"/>
  <c r="W353" i="20" s="1"/>
  <c r="R352" i="20"/>
  <c r="U352" i="20" s="1"/>
  <c r="T351" i="20"/>
  <c r="W351" i="20" s="1"/>
  <c r="R350" i="20"/>
  <c r="U350" i="20" s="1"/>
  <c r="T349" i="20"/>
  <c r="W349" i="20" s="1"/>
  <c r="R348" i="20"/>
  <c r="U348" i="20" s="1"/>
  <c r="T347" i="20"/>
  <c r="W347" i="20" s="1"/>
  <c r="R346" i="20"/>
  <c r="U346" i="20" s="1"/>
  <c r="T345" i="20"/>
  <c r="W345" i="20" s="1"/>
  <c r="T338" i="20"/>
  <c r="W338" i="20" s="1"/>
  <c r="R337" i="20"/>
  <c r="U337" i="20" s="1"/>
  <c r="T336" i="20"/>
  <c r="W336" i="20" s="1"/>
  <c r="R335" i="20"/>
  <c r="U335" i="20" s="1"/>
  <c r="T334" i="20"/>
  <c r="W334" i="20" s="1"/>
  <c r="R333" i="20"/>
  <c r="U333" i="20" s="1"/>
  <c r="T332" i="20"/>
  <c r="W332" i="20" s="1"/>
  <c r="R331" i="20"/>
  <c r="U331" i="20" s="1"/>
  <c r="T330" i="20"/>
  <c r="W330" i="20" s="1"/>
  <c r="R329" i="20"/>
  <c r="U329" i="20" s="1"/>
  <c r="T328" i="20"/>
  <c r="W328" i="20" s="1"/>
  <c r="R327" i="20"/>
  <c r="U327" i="20" s="1"/>
  <c r="T326" i="20"/>
  <c r="W326" i="20" s="1"/>
  <c r="R325" i="20"/>
  <c r="U325" i="20" s="1"/>
  <c r="T324" i="20"/>
  <c r="W324" i="20" s="1"/>
  <c r="O322" i="20"/>
  <c r="T317" i="20"/>
  <c r="W317" i="20" s="1"/>
  <c r="R316" i="20"/>
  <c r="U316" i="20" s="1"/>
  <c r="T315" i="20"/>
  <c r="W315" i="20" s="1"/>
  <c r="R314" i="20"/>
  <c r="U314" i="20" s="1"/>
  <c r="T313" i="20"/>
  <c r="W313" i="20" s="1"/>
  <c r="T311" i="20"/>
  <c r="W311" i="20" s="1"/>
  <c r="T309" i="20"/>
  <c r="W309" i="20" s="1"/>
  <c r="T307" i="20"/>
  <c r="W307" i="20" s="1"/>
  <c r="T305" i="20"/>
  <c r="W305" i="20" s="1"/>
  <c r="T303" i="20"/>
  <c r="W303" i="20" s="1"/>
  <c r="Q301" i="20"/>
  <c r="T275" i="20"/>
  <c r="W275" i="20" s="1"/>
  <c r="T273" i="20"/>
  <c r="W273" i="20" s="1"/>
  <c r="T271" i="20"/>
  <c r="W271" i="20" s="1"/>
  <c r="T269" i="20"/>
  <c r="W269" i="20" s="1"/>
  <c r="T267" i="20"/>
  <c r="W267" i="20" s="1"/>
  <c r="T265" i="20"/>
  <c r="W265" i="20" s="1"/>
  <c r="T263" i="20"/>
  <c r="W263" i="20" s="1"/>
  <c r="T261" i="20"/>
  <c r="W261" i="20" s="1"/>
  <c r="R254" i="20"/>
  <c r="U254" i="20" s="1"/>
  <c r="T253" i="20"/>
  <c r="W253" i="20" s="1"/>
  <c r="R252" i="20"/>
  <c r="U252" i="20" s="1"/>
  <c r="T251" i="20"/>
  <c r="W251" i="20" s="1"/>
  <c r="R250" i="20"/>
  <c r="U250" i="20" s="1"/>
  <c r="T249" i="20"/>
  <c r="W249" i="20" s="1"/>
  <c r="R248" i="20"/>
  <c r="U248" i="20" s="1"/>
  <c r="T247" i="20"/>
  <c r="W247" i="20" s="1"/>
  <c r="R246" i="20"/>
  <c r="U246" i="20" s="1"/>
  <c r="T245" i="20"/>
  <c r="W245" i="20" s="1"/>
  <c r="R244" i="20"/>
  <c r="U244" i="20" s="1"/>
  <c r="T243" i="20"/>
  <c r="W243" i="20" s="1"/>
  <c r="R242" i="20"/>
  <c r="U242" i="20" s="1"/>
  <c r="T241" i="20"/>
  <c r="W241" i="20" s="1"/>
  <c r="R240" i="20"/>
  <c r="U240" i="20" s="1"/>
  <c r="R233" i="20"/>
  <c r="U233" i="20" s="1"/>
  <c r="T232" i="20"/>
  <c r="W232" i="20" s="1"/>
  <c r="R231" i="20"/>
  <c r="U231" i="20" s="1"/>
  <c r="T230" i="20"/>
  <c r="W230" i="20" s="1"/>
  <c r="R229" i="20"/>
  <c r="U229" i="20" s="1"/>
  <c r="T228" i="20"/>
  <c r="W228" i="20" s="1"/>
  <c r="R227" i="20"/>
  <c r="U227" i="20" s="1"/>
  <c r="T226" i="20"/>
  <c r="W226" i="20" s="1"/>
  <c r="R225" i="20"/>
  <c r="U225" i="20" s="1"/>
  <c r="T224" i="20"/>
  <c r="W224" i="20" s="1"/>
  <c r="R223" i="20"/>
  <c r="U223" i="20" s="1"/>
  <c r="T222" i="20"/>
  <c r="W222" i="20" s="1"/>
  <c r="R221" i="20"/>
  <c r="U221" i="20" s="1"/>
  <c r="T220" i="20"/>
  <c r="W220" i="20" s="1"/>
  <c r="R219" i="20"/>
  <c r="U219" i="20" s="1"/>
  <c r="R212" i="20"/>
  <c r="U212" i="20" s="1"/>
  <c r="T211" i="20"/>
  <c r="W211" i="20" s="1"/>
  <c r="R210" i="20"/>
  <c r="U210" i="20" s="1"/>
  <c r="T209" i="20"/>
  <c r="W209" i="20" s="1"/>
  <c r="R208" i="20"/>
  <c r="U208" i="20" s="1"/>
  <c r="T207" i="20"/>
  <c r="W207" i="20" s="1"/>
  <c r="R206" i="20"/>
  <c r="U206" i="20" s="1"/>
  <c r="T205" i="20"/>
  <c r="W205" i="20" s="1"/>
  <c r="R204" i="20"/>
  <c r="U204" i="20" s="1"/>
  <c r="T203" i="20"/>
  <c r="W203" i="20" s="1"/>
  <c r="R202" i="20"/>
  <c r="U202" i="20" s="1"/>
  <c r="T201" i="20"/>
  <c r="W201" i="20" s="1"/>
  <c r="R200" i="20"/>
  <c r="U200" i="20" s="1"/>
  <c r="T199" i="20"/>
  <c r="W199" i="20" s="1"/>
  <c r="R198" i="20"/>
  <c r="R191" i="20"/>
  <c r="U191" i="20" s="1"/>
  <c r="T190" i="20"/>
  <c r="W190" i="20" s="1"/>
  <c r="R189" i="20"/>
  <c r="U189" i="20" s="1"/>
  <c r="T188" i="20"/>
  <c r="W188" i="20" s="1"/>
  <c r="R187" i="20"/>
  <c r="U187" i="20" s="1"/>
  <c r="T186" i="20"/>
  <c r="W186" i="20" s="1"/>
  <c r="R185" i="20"/>
  <c r="U185" i="20" s="1"/>
  <c r="T184" i="20"/>
  <c r="W184" i="20" s="1"/>
  <c r="R183" i="20"/>
  <c r="U183" i="20" s="1"/>
  <c r="T182" i="20"/>
  <c r="W182" i="20" s="1"/>
  <c r="R181" i="20"/>
  <c r="U181" i="20" s="1"/>
  <c r="T180" i="20"/>
  <c r="W180" i="20" s="1"/>
  <c r="R179" i="20"/>
  <c r="U179" i="20" s="1"/>
  <c r="T178" i="20"/>
  <c r="W178" i="20" s="1"/>
  <c r="R177" i="20"/>
  <c r="U177" i="20" s="1"/>
  <c r="R170" i="20"/>
  <c r="U170" i="20" s="1"/>
  <c r="T169" i="20"/>
  <c r="W169" i="20" s="1"/>
  <c r="R168" i="20"/>
  <c r="U168" i="20" s="1"/>
  <c r="T167" i="20"/>
  <c r="W167" i="20" s="1"/>
  <c r="R166" i="20"/>
  <c r="U166" i="20" s="1"/>
  <c r="T165" i="20"/>
  <c r="W165" i="20" s="1"/>
  <c r="R164" i="20"/>
  <c r="U164" i="20" s="1"/>
  <c r="T163" i="20"/>
  <c r="W163" i="20" s="1"/>
  <c r="R162" i="20"/>
  <c r="U162" i="20" s="1"/>
  <c r="T161" i="20"/>
  <c r="W161" i="20" s="1"/>
  <c r="R160" i="20"/>
  <c r="U160" i="20" s="1"/>
  <c r="T159" i="20"/>
  <c r="W159" i="20" s="1"/>
  <c r="R158" i="20"/>
  <c r="U158" i="20" s="1"/>
  <c r="T157" i="20"/>
  <c r="W157" i="20" s="1"/>
  <c r="R156" i="20"/>
  <c r="U156" i="20" s="1"/>
  <c r="R149" i="20"/>
  <c r="U149" i="20" s="1"/>
  <c r="T148" i="20"/>
  <c r="W148" i="20" s="1"/>
  <c r="R147" i="20"/>
  <c r="U147" i="20" s="1"/>
  <c r="T146" i="20"/>
  <c r="W146" i="20" s="1"/>
  <c r="R145" i="20"/>
  <c r="U145" i="20" s="1"/>
  <c r="T144" i="20"/>
  <c r="W144" i="20" s="1"/>
  <c r="R143" i="20"/>
  <c r="U143" i="20" s="1"/>
  <c r="T142" i="20"/>
  <c r="W142" i="20" s="1"/>
  <c r="R141" i="20"/>
  <c r="U141" i="20" s="1"/>
  <c r="T140" i="20"/>
  <c r="W140" i="20" s="1"/>
  <c r="R139" i="20"/>
  <c r="U139" i="20" s="1"/>
  <c r="T138" i="20"/>
  <c r="W138" i="20" s="1"/>
  <c r="R137" i="20"/>
  <c r="U137" i="20" s="1"/>
  <c r="T136" i="20"/>
  <c r="W136" i="20" s="1"/>
  <c r="R135" i="20"/>
  <c r="U135" i="20" s="1"/>
  <c r="R128" i="20"/>
  <c r="U128" i="20" s="1"/>
  <c r="T127" i="20"/>
  <c r="W127" i="20" s="1"/>
  <c r="R126" i="20"/>
  <c r="U126" i="20" s="1"/>
  <c r="T125" i="20"/>
  <c r="W125" i="20" s="1"/>
  <c r="R124" i="20"/>
  <c r="U124" i="20" s="1"/>
  <c r="T123" i="20"/>
  <c r="W123" i="20" s="1"/>
  <c r="R122" i="20"/>
  <c r="U122" i="20" s="1"/>
  <c r="T121" i="20"/>
  <c r="W121" i="20" s="1"/>
  <c r="R120" i="20"/>
  <c r="U120" i="20" s="1"/>
  <c r="T119" i="20"/>
  <c r="W119" i="20" s="1"/>
  <c r="R118" i="20"/>
  <c r="U118" i="20" s="1"/>
  <c r="T117" i="20"/>
  <c r="W117" i="20" s="1"/>
  <c r="R116" i="20"/>
  <c r="U116" i="20" s="1"/>
  <c r="T115" i="20"/>
  <c r="W115" i="20" s="1"/>
  <c r="R114" i="20"/>
  <c r="U114" i="20" s="1"/>
  <c r="R107" i="20"/>
  <c r="U107" i="20" s="1"/>
  <c r="T106" i="20"/>
  <c r="W106" i="20" s="1"/>
  <c r="R105" i="20"/>
  <c r="U105" i="20" s="1"/>
  <c r="T104" i="20"/>
  <c r="W104" i="20" s="1"/>
  <c r="R103" i="20"/>
  <c r="U103" i="20" s="1"/>
  <c r="T102" i="20"/>
  <c r="W102" i="20" s="1"/>
  <c r="R101" i="20"/>
  <c r="U101" i="20" s="1"/>
  <c r="T100" i="20"/>
  <c r="W100" i="20" s="1"/>
  <c r="R99" i="20"/>
  <c r="U99" i="20" s="1"/>
  <c r="T98" i="20"/>
  <c r="W98" i="20" s="1"/>
  <c r="R97" i="20"/>
  <c r="U97" i="20" s="1"/>
  <c r="T96" i="20"/>
  <c r="W96" i="20" s="1"/>
  <c r="R95" i="20"/>
  <c r="U95" i="20" s="1"/>
  <c r="T94" i="20"/>
  <c r="W94" i="20" s="1"/>
  <c r="R93" i="20"/>
  <c r="U93" i="20" s="1"/>
  <c r="R86" i="20"/>
  <c r="U86" i="20" s="1"/>
  <c r="T85" i="20"/>
  <c r="W85" i="20" s="1"/>
  <c r="R84" i="20"/>
  <c r="U84" i="20" s="1"/>
  <c r="T83" i="20"/>
  <c r="W83" i="20" s="1"/>
  <c r="R82" i="20"/>
  <c r="U82" i="20" s="1"/>
  <c r="T81" i="20"/>
  <c r="W81" i="20" s="1"/>
  <c r="R80" i="20"/>
  <c r="U80" i="20" s="1"/>
  <c r="T79" i="20"/>
  <c r="W79" i="20" s="1"/>
  <c r="R78" i="20"/>
  <c r="U78" i="20" s="1"/>
  <c r="T77" i="20"/>
  <c r="W77" i="20" s="1"/>
  <c r="R76" i="20"/>
  <c r="U76" i="20" s="1"/>
  <c r="T75" i="20"/>
  <c r="W75" i="20" s="1"/>
  <c r="R74" i="20"/>
  <c r="U74" i="20" s="1"/>
  <c r="T73" i="20"/>
  <c r="W73" i="20" s="1"/>
  <c r="R72" i="20"/>
  <c r="U72" i="20" s="1"/>
  <c r="R65" i="20"/>
  <c r="U65" i="20" s="1"/>
  <c r="T64" i="20"/>
  <c r="W64" i="20" s="1"/>
  <c r="R63" i="20"/>
  <c r="U63" i="20" s="1"/>
  <c r="T62" i="20"/>
  <c r="W62" i="20" s="1"/>
  <c r="R61" i="20"/>
  <c r="U61" i="20" s="1"/>
  <c r="T60" i="20"/>
  <c r="W60" i="20" s="1"/>
  <c r="R59" i="20"/>
  <c r="U59" i="20" s="1"/>
  <c r="T58" i="20"/>
  <c r="W58" i="20" s="1"/>
  <c r="R57" i="20"/>
  <c r="U57" i="20" s="1"/>
  <c r="T56" i="20"/>
  <c r="W56" i="20" s="1"/>
  <c r="R55" i="20"/>
  <c r="U55" i="20" s="1"/>
  <c r="T54" i="20"/>
  <c r="W54" i="20" s="1"/>
  <c r="R53" i="20"/>
  <c r="U53" i="20" s="1"/>
  <c r="T52" i="20"/>
  <c r="W52" i="20" s="1"/>
  <c r="R51" i="20"/>
  <c r="R44" i="20"/>
  <c r="U44" i="20" s="1"/>
  <c r="T43" i="20"/>
  <c r="W43" i="20" s="1"/>
  <c r="R42" i="20"/>
  <c r="U42" i="20" s="1"/>
  <c r="T41" i="20"/>
  <c r="W41" i="20" s="1"/>
  <c r="R40" i="20"/>
  <c r="U40" i="20" s="1"/>
  <c r="T39" i="20"/>
  <c r="W39" i="20" s="1"/>
  <c r="R38" i="20"/>
  <c r="U38" i="20" s="1"/>
  <c r="T37" i="20"/>
  <c r="W37" i="20" s="1"/>
  <c r="R36" i="20"/>
  <c r="U36" i="20" s="1"/>
  <c r="T35" i="20"/>
  <c r="W35" i="20" s="1"/>
  <c r="R34" i="20"/>
  <c r="U34" i="20" s="1"/>
  <c r="T33" i="20"/>
  <c r="W33" i="20" s="1"/>
  <c r="R32" i="20"/>
  <c r="U32" i="20" s="1"/>
  <c r="T31" i="20"/>
  <c r="W31" i="20" s="1"/>
  <c r="R30" i="20"/>
  <c r="U30" i="20" s="1"/>
  <c r="R23" i="20"/>
  <c r="U23" i="20" s="1"/>
  <c r="T22" i="20"/>
  <c r="W22" i="20" s="1"/>
  <c r="R21" i="20"/>
  <c r="U21" i="20" s="1"/>
  <c r="T20" i="20"/>
  <c r="W20" i="20" s="1"/>
  <c r="R19" i="20"/>
  <c r="U19" i="20" s="1"/>
  <c r="T18" i="20"/>
  <c r="W18" i="20" s="1"/>
  <c r="R17" i="20"/>
  <c r="U17" i="20" s="1"/>
  <c r="T16" i="20"/>
  <c r="W16" i="20" s="1"/>
  <c r="R15" i="20"/>
  <c r="U15" i="20" s="1"/>
  <c r="T14" i="20"/>
  <c r="W14" i="20" s="1"/>
  <c r="R13" i="20"/>
  <c r="U13" i="20" s="1"/>
  <c r="T12" i="20"/>
  <c r="W12" i="20" s="1"/>
  <c r="R11" i="20"/>
  <c r="U11" i="20" s="1"/>
  <c r="T10" i="20"/>
  <c r="W10" i="20" s="1"/>
  <c r="R9" i="20"/>
  <c r="U9" i="20" s="1"/>
  <c r="R422" i="21"/>
  <c r="U422" i="21" s="1"/>
  <c r="T421" i="21"/>
  <c r="W421" i="21" s="1"/>
  <c r="R420" i="21"/>
  <c r="U420" i="21" s="1"/>
  <c r="T419" i="21"/>
  <c r="W419" i="21" s="1"/>
  <c r="R418" i="21"/>
  <c r="U418" i="21" s="1"/>
  <c r="T417" i="21"/>
  <c r="W417" i="21" s="1"/>
  <c r="R416" i="21"/>
  <c r="U416" i="21" s="1"/>
  <c r="T415" i="21"/>
  <c r="W415" i="21" s="1"/>
  <c r="R414" i="21"/>
  <c r="U414" i="21" s="1"/>
  <c r="T413" i="21"/>
  <c r="W413" i="21" s="1"/>
  <c r="R412" i="21"/>
  <c r="U412" i="21" s="1"/>
  <c r="T411" i="21"/>
  <c r="W411" i="21" s="1"/>
  <c r="R410" i="21"/>
  <c r="U410" i="21" s="1"/>
  <c r="T409" i="21"/>
  <c r="W409" i="21" s="1"/>
  <c r="R408" i="21"/>
  <c r="U408" i="21" s="1"/>
  <c r="R401" i="21"/>
  <c r="U401" i="21" s="1"/>
  <c r="T400" i="21"/>
  <c r="W400" i="21" s="1"/>
  <c r="R399" i="21"/>
  <c r="U399" i="21" s="1"/>
  <c r="T398" i="21"/>
  <c r="W398" i="21" s="1"/>
  <c r="R397" i="21"/>
  <c r="U397" i="21" s="1"/>
  <c r="T396" i="21"/>
  <c r="W396" i="21" s="1"/>
  <c r="R395" i="21"/>
  <c r="U395" i="21" s="1"/>
  <c r="T394" i="21"/>
  <c r="W394" i="21" s="1"/>
  <c r="R393" i="21"/>
  <c r="U393" i="21" s="1"/>
  <c r="T392" i="21"/>
  <c r="W392" i="21" s="1"/>
  <c r="R391" i="21"/>
  <c r="U391" i="21" s="1"/>
  <c r="T390" i="21"/>
  <c r="W390" i="21" s="1"/>
  <c r="R389" i="21"/>
  <c r="U389" i="21" s="1"/>
  <c r="T388" i="21"/>
  <c r="W388" i="21" s="1"/>
  <c r="R387" i="21"/>
  <c r="R380" i="21"/>
  <c r="U380" i="21" s="1"/>
  <c r="T379" i="21"/>
  <c r="W379" i="21" s="1"/>
  <c r="R378" i="21"/>
  <c r="U378" i="21" s="1"/>
  <c r="T377" i="21"/>
  <c r="W377" i="21" s="1"/>
  <c r="R376" i="21"/>
  <c r="U376" i="21" s="1"/>
  <c r="T375" i="21"/>
  <c r="W375" i="21" s="1"/>
  <c r="R374" i="21"/>
  <c r="U374" i="21" s="1"/>
  <c r="T373" i="21"/>
  <c r="W373" i="21" s="1"/>
  <c r="R372" i="21"/>
  <c r="U372" i="21" s="1"/>
  <c r="T371" i="21"/>
  <c r="W371" i="21" s="1"/>
  <c r="R370" i="21"/>
  <c r="U370" i="21" s="1"/>
  <c r="T369" i="21"/>
  <c r="W369" i="21" s="1"/>
  <c r="R368" i="21"/>
  <c r="U368" i="21" s="1"/>
  <c r="T367" i="21"/>
  <c r="W367" i="21" s="1"/>
  <c r="R366" i="21"/>
  <c r="U366" i="21" s="1"/>
  <c r="R359" i="21"/>
  <c r="U359" i="21" s="1"/>
  <c r="T358" i="21"/>
  <c r="W358" i="21" s="1"/>
  <c r="R357" i="21"/>
  <c r="U357" i="21" s="1"/>
  <c r="T356" i="21"/>
  <c r="W356" i="21" s="1"/>
  <c r="R355" i="21"/>
  <c r="U355" i="21" s="1"/>
  <c r="T354" i="21"/>
  <c r="W354" i="21" s="1"/>
  <c r="R353" i="21"/>
  <c r="U353" i="21" s="1"/>
  <c r="T352" i="21"/>
  <c r="W352" i="21" s="1"/>
  <c r="R351" i="21"/>
  <c r="U351" i="21" s="1"/>
  <c r="T350" i="21"/>
  <c r="W350" i="21" s="1"/>
  <c r="R349" i="21"/>
  <c r="U349" i="21" s="1"/>
  <c r="T348" i="21"/>
  <c r="W348" i="21" s="1"/>
  <c r="R347" i="21"/>
  <c r="U347" i="21" s="1"/>
  <c r="T346" i="21"/>
  <c r="W346" i="21" s="1"/>
  <c r="R345" i="21"/>
  <c r="U345" i="21" s="1"/>
  <c r="R338" i="21"/>
  <c r="U338" i="21" s="1"/>
  <c r="T337" i="21"/>
  <c r="W337" i="21" s="1"/>
  <c r="R336" i="21"/>
  <c r="U336" i="21" s="1"/>
  <c r="T335" i="21"/>
  <c r="W335" i="21" s="1"/>
  <c r="R334" i="21"/>
  <c r="U334" i="21" s="1"/>
  <c r="T333" i="21"/>
  <c r="W333" i="21" s="1"/>
  <c r="R332" i="21"/>
  <c r="U332" i="21" s="1"/>
  <c r="T331" i="21"/>
  <c r="W331" i="21" s="1"/>
  <c r="R330" i="21"/>
  <c r="U330" i="21" s="1"/>
  <c r="T329" i="21"/>
  <c r="W329" i="21" s="1"/>
  <c r="R328" i="21"/>
  <c r="U328" i="21" s="1"/>
  <c r="T327" i="21"/>
  <c r="W327" i="21" s="1"/>
  <c r="R326" i="21"/>
  <c r="U326" i="21" s="1"/>
  <c r="T325" i="21"/>
  <c r="W325" i="21" s="1"/>
  <c r="R324" i="21"/>
  <c r="R317" i="21"/>
  <c r="U317" i="21" s="1"/>
  <c r="T316" i="21"/>
  <c r="W316" i="21" s="1"/>
  <c r="R315" i="21"/>
  <c r="U315" i="21" s="1"/>
  <c r="T314" i="21"/>
  <c r="W314" i="21" s="1"/>
  <c r="R313" i="21"/>
  <c r="U313" i="21" s="1"/>
  <c r="T312" i="21"/>
  <c r="W312" i="21" s="1"/>
  <c r="R311" i="21"/>
  <c r="U311" i="21" s="1"/>
  <c r="T310" i="21"/>
  <c r="W310" i="21" s="1"/>
  <c r="R309" i="21"/>
  <c r="U309" i="21" s="1"/>
  <c r="T308" i="21"/>
  <c r="W308" i="21" s="1"/>
  <c r="R307" i="21"/>
  <c r="U307" i="21" s="1"/>
  <c r="T306" i="21"/>
  <c r="W306" i="21" s="1"/>
  <c r="R305" i="21"/>
  <c r="U305" i="21" s="1"/>
  <c r="T304" i="21"/>
  <c r="W304" i="21" s="1"/>
  <c r="R303" i="21"/>
  <c r="U303" i="21" s="1"/>
  <c r="R296" i="21"/>
  <c r="U296" i="21" s="1"/>
  <c r="T295" i="21"/>
  <c r="W295" i="21" s="1"/>
  <c r="R294" i="21"/>
  <c r="U294" i="21" s="1"/>
  <c r="T293" i="21"/>
  <c r="W293" i="21" s="1"/>
  <c r="R292" i="21"/>
  <c r="U292" i="21" s="1"/>
  <c r="T291" i="21"/>
  <c r="W291" i="21" s="1"/>
  <c r="R290" i="21"/>
  <c r="U290" i="21" s="1"/>
  <c r="T289" i="21"/>
  <c r="W289" i="21" s="1"/>
  <c r="R288" i="21"/>
  <c r="U288" i="21" s="1"/>
  <c r="T287" i="21"/>
  <c r="W287" i="21" s="1"/>
  <c r="R286" i="21"/>
  <c r="U286" i="21" s="1"/>
  <c r="T285" i="21"/>
  <c r="W285" i="21" s="1"/>
  <c r="R284" i="21"/>
  <c r="U284" i="21" s="1"/>
  <c r="T283" i="21"/>
  <c r="W283" i="21" s="1"/>
  <c r="R282" i="21"/>
  <c r="U282" i="21" s="1"/>
  <c r="R275" i="21"/>
  <c r="U275" i="21" s="1"/>
  <c r="T274" i="21"/>
  <c r="W274" i="21" s="1"/>
  <c r="R273" i="21"/>
  <c r="U273" i="21" s="1"/>
  <c r="T272" i="21"/>
  <c r="W272" i="21" s="1"/>
  <c r="R271" i="21"/>
  <c r="U271" i="21" s="1"/>
  <c r="T270" i="21"/>
  <c r="W270" i="21" s="1"/>
  <c r="R269" i="21"/>
  <c r="U269" i="21" s="1"/>
  <c r="T268" i="21"/>
  <c r="W268" i="21" s="1"/>
  <c r="R267" i="21"/>
  <c r="U267" i="21" s="1"/>
  <c r="T266" i="21"/>
  <c r="W266" i="21" s="1"/>
  <c r="R265" i="21"/>
  <c r="U265" i="21" s="1"/>
  <c r="T264" i="21"/>
  <c r="W264" i="21" s="1"/>
  <c r="R263" i="21"/>
  <c r="U263" i="21" s="1"/>
  <c r="T262" i="21"/>
  <c r="W262" i="21" s="1"/>
  <c r="R261" i="21"/>
  <c r="U261" i="21" s="1"/>
  <c r="T253" i="21"/>
  <c r="W253" i="21" s="1"/>
  <c r="R252" i="21"/>
  <c r="U252" i="21" s="1"/>
  <c r="T251" i="21"/>
  <c r="W251" i="21" s="1"/>
  <c r="R250" i="21"/>
  <c r="U250" i="21" s="1"/>
  <c r="T249" i="21"/>
  <c r="W249" i="21" s="1"/>
  <c r="R248" i="21"/>
  <c r="U248" i="21" s="1"/>
  <c r="T247" i="21"/>
  <c r="W247" i="21" s="1"/>
  <c r="R246" i="21"/>
  <c r="U246" i="21" s="1"/>
  <c r="T245" i="21"/>
  <c r="W245" i="21" s="1"/>
  <c r="R244" i="21"/>
  <c r="U244" i="21" s="1"/>
  <c r="T243" i="21"/>
  <c r="W243" i="21" s="1"/>
  <c r="R242" i="21"/>
  <c r="U242" i="21" s="1"/>
  <c r="T241" i="21"/>
  <c r="W241" i="21" s="1"/>
  <c r="R240" i="21"/>
  <c r="U240" i="21" s="1"/>
  <c r="T232" i="21"/>
  <c r="W232" i="21" s="1"/>
  <c r="R231" i="21"/>
  <c r="U231" i="21" s="1"/>
  <c r="T230" i="21"/>
  <c r="W230" i="21" s="1"/>
  <c r="R229" i="21"/>
  <c r="U229" i="21" s="1"/>
  <c r="T228" i="21"/>
  <c r="W228" i="21" s="1"/>
  <c r="R227" i="21"/>
  <c r="U227" i="21" s="1"/>
  <c r="T226" i="21"/>
  <c r="W226" i="21" s="1"/>
  <c r="R225" i="21"/>
  <c r="U225" i="21" s="1"/>
  <c r="T224" i="21"/>
  <c r="W224" i="21" s="1"/>
  <c r="R223" i="21"/>
  <c r="U223" i="21" s="1"/>
  <c r="T222" i="21"/>
  <c r="W222" i="21" s="1"/>
  <c r="R221" i="21"/>
  <c r="U221" i="21" s="1"/>
  <c r="T220" i="21"/>
  <c r="W220" i="21" s="1"/>
  <c r="R219" i="21"/>
  <c r="U219" i="21" s="1"/>
  <c r="T209" i="21"/>
  <c r="W209" i="21" s="1"/>
  <c r="R208" i="21"/>
  <c r="U208" i="21" s="1"/>
  <c r="T207" i="21"/>
  <c r="W207" i="21" s="1"/>
  <c r="R206" i="21"/>
  <c r="U206" i="21" s="1"/>
  <c r="T205" i="21"/>
  <c r="W205" i="21" s="1"/>
  <c r="R204" i="21"/>
  <c r="U204" i="21" s="1"/>
  <c r="T203" i="21"/>
  <c r="W203" i="21" s="1"/>
  <c r="R202" i="21"/>
  <c r="U202" i="21" s="1"/>
  <c r="T201" i="21"/>
  <c r="W201" i="21" s="1"/>
  <c r="R200" i="21"/>
  <c r="U200" i="21" s="1"/>
  <c r="T199" i="21"/>
  <c r="W199" i="21" s="1"/>
  <c r="R198" i="21"/>
  <c r="U198" i="21" s="1"/>
  <c r="R187" i="21"/>
  <c r="U187" i="21" s="1"/>
  <c r="T186" i="21"/>
  <c r="W186" i="21" s="1"/>
  <c r="R185" i="21"/>
  <c r="U185" i="21" s="1"/>
  <c r="T184" i="21"/>
  <c r="W184" i="21" s="1"/>
  <c r="R183" i="21"/>
  <c r="U183" i="21" s="1"/>
  <c r="T182" i="21"/>
  <c r="W182" i="21" s="1"/>
  <c r="R181" i="21"/>
  <c r="U181" i="21" s="1"/>
  <c r="T180" i="21"/>
  <c r="W180" i="21" s="1"/>
  <c r="R179" i="21"/>
  <c r="U179" i="21" s="1"/>
  <c r="T178" i="21"/>
  <c r="W178" i="21" s="1"/>
  <c r="R177" i="21"/>
  <c r="U177" i="21" s="1"/>
  <c r="T165" i="21"/>
  <c r="W165" i="21" s="1"/>
  <c r="R164" i="21"/>
  <c r="U164" i="21" s="1"/>
  <c r="T163" i="21"/>
  <c r="W163" i="21" s="1"/>
  <c r="R162" i="21"/>
  <c r="U162" i="21" s="1"/>
  <c r="T161" i="21"/>
  <c r="W161" i="21" s="1"/>
  <c r="R160" i="21"/>
  <c r="U160" i="21" s="1"/>
  <c r="T159" i="21"/>
  <c r="W159" i="21" s="1"/>
  <c r="R158" i="21"/>
  <c r="U158" i="21" s="1"/>
  <c r="T157" i="21"/>
  <c r="W157" i="21" s="1"/>
  <c r="R156" i="21"/>
  <c r="U156" i="21" s="1"/>
  <c r="T138" i="21"/>
  <c r="W138" i="21" s="1"/>
  <c r="R137" i="21"/>
  <c r="U137" i="21" s="1"/>
  <c r="T136" i="21"/>
  <c r="W136" i="21" s="1"/>
  <c r="R135" i="21"/>
  <c r="U135" i="21" s="1"/>
  <c r="T117" i="21"/>
  <c r="W117" i="21" s="1"/>
  <c r="R116" i="21"/>
  <c r="U116" i="21" s="1"/>
  <c r="T115" i="21"/>
  <c r="W115" i="21" s="1"/>
  <c r="R114" i="21"/>
  <c r="R95" i="21"/>
  <c r="U95" i="21" s="1"/>
  <c r="T94" i="21"/>
  <c r="W94" i="21" s="1"/>
  <c r="R93" i="21"/>
  <c r="U93" i="21" s="1"/>
  <c r="R74" i="21"/>
  <c r="U74" i="21" s="1"/>
  <c r="T73" i="21"/>
  <c r="W73" i="21" s="1"/>
  <c r="R72" i="21"/>
  <c r="U72" i="21" s="1"/>
  <c r="T52" i="21"/>
  <c r="W52" i="21" s="1"/>
  <c r="R51" i="21"/>
  <c r="U51" i="21" s="1"/>
  <c r="R30" i="21"/>
  <c r="U30" i="21" s="1"/>
  <c r="O280" i="22"/>
  <c r="R281" i="22"/>
  <c r="U281" i="22" s="1"/>
  <c r="T282" i="22"/>
  <c r="W282" i="22" s="1"/>
  <c r="R283" i="22"/>
  <c r="U283" i="22" s="1"/>
  <c r="T284" i="22"/>
  <c r="W284" i="22" s="1"/>
  <c r="R285" i="22"/>
  <c r="U285" i="22" s="1"/>
  <c r="T286" i="22"/>
  <c r="W286" i="22" s="1"/>
  <c r="R287" i="22"/>
  <c r="U287" i="22" s="1"/>
  <c r="T288" i="22"/>
  <c r="W288" i="22" s="1"/>
  <c r="R289" i="22"/>
  <c r="U289" i="22" s="1"/>
  <c r="T290" i="22"/>
  <c r="W290" i="22" s="1"/>
  <c r="R291" i="22"/>
  <c r="U291" i="22" s="1"/>
  <c r="T292" i="22"/>
  <c r="W292" i="22" s="1"/>
  <c r="T29" i="22"/>
  <c r="W29" i="22" s="1"/>
  <c r="R30" i="22"/>
  <c r="U30" i="22" s="1"/>
  <c r="T31" i="22"/>
  <c r="W31" i="22" s="1"/>
  <c r="R32" i="22"/>
  <c r="U32" i="22" s="1"/>
  <c r="T33" i="22"/>
  <c r="W33" i="22" s="1"/>
  <c r="R34" i="22"/>
  <c r="U34" i="22" s="1"/>
  <c r="T35" i="22"/>
  <c r="W35" i="22" s="1"/>
  <c r="R36" i="22"/>
  <c r="U36" i="22" s="1"/>
  <c r="T37" i="22"/>
  <c r="W37" i="22" s="1"/>
  <c r="R38" i="22"/>
  <c r="U38" i="22" s="1"/>
  <c r="T39" i="22"/>
  <c r="W39" i="22" s="1"/>
  <c r="R40" i="22"/>
  <c r="U40" i="22" s="1"/>
  <c r="T41" i="22"/>
  <c r="W41" i="22" s="1"/>
  <c r="T8" i="22"/>
  <c r="W8" i="22" s="1"/>
  <c r="R9" i="22"/>
  <c r="U9" i="22" s="1"/>
  <c r="T10" i="22"/>
  <c r="W10" i="22" s="1"/>
  <c r="R11" i="22"/>
  <c r="U11" i="22" s="1"/>
  <c r="T12" i="22"/>
  <c r="W12" i="22" s="1"/>
  <c r="R13" i="22"/>
  <c r="U13" i="22" s="1"/>
  <c r="T14" i="22"/>
  <c r="W14" i="22" s="1"/>
  <c r="R15" i="22"/>
  <c r="U15" i="22" s="1"/>
  <c r="T16" i="22"/>
  <c r="W16" i="22" s="1"/>
  <c r="R17" i="22"/>
  <c r="U17" i="22" s="1"/>
  <c r="T18" i="22"/>
  <c r="W18" i="22" s="1"/>
  <c r="R19" i="22"/>
  <c r="U19" i="22" s="1"/>
  <c r="T20" i="22"/>
  <c r="W20" i="22" s="1"/>
  <c r="R21" i="22"/>
  <c r="U21" i="22" s="1"/>
  <c r="T22" i="22"/>
  <c r="W22" i="22" s="1"/>
  <c r="R23" i="22"/>
  <c r="U23" i="22" s="1"/>
  <c r="T275" i="22"/>
  <c r="W275" i="22" s="1"/>
  <c r="R274" i="22"/>
  <c r="U274" i="22" s="1"/>
  <c r="T273" i="22"/>
  <c r="W273" i="22" s="1"/>
  <c r="R272" i="22"/>
  <c r="U272" i="22" s="1"/>
  <c r="T271" i="22"/>
  <c r="W271" i="22" s="1"/>
  <c r="R270" i="22"/>
  <c r="U270" i="22" s="1"/>
  <c r="T269" i="22"/>
  <c r="W269" i="22" s="1"/>
  <c r="R268" i="22"/>
  <c r="U268" i="22" s="1"/>
  <c r="T267" i="22"/>
  <c r="W267" i="22" s="1"/>
  <c r="R266" i="22"/>
  <c r="U266" i="22" s="1"/>
  <c r="T265" i="22"/>
  <c r="W265" i="22" s="1"/>
  <c r="R264" i="22"/>
  <c r="U264" i="22" s="1"/>
  <c r="T263" i="22"/>
  <c r="W263" i="22" s="1"/>
  <c r="R262" i="22"/>
  <c r="U262" i="22" s="1"/>
  <c r="T261" i="22"/>
  <c r="W261" i="22" s="1"/>
  <c r="T254" i="22"/>
  <c r="W254" i="22" s="1"/>
  <c r="R253" i="22"/>
  <c r="U253" i="22" s="1"/>
  <c r="T252" i="22"/>
  <c r="W252" i="22" s="1"/>
  <c r="R251" i="22"/>
  <c r="U251" i="22" s="1"/>
  <c r="T250" i="22"/>
  <c r="W250" i="22" s="1"/>
  <c r="R249" i="22"/>
  <c r="U249" i="22" s="1"/>
  <c r="T248" i="22"/>
  <c r="W248" i="22" s="1"/>
  <c r="R247" i="22"/>
  <c r="U247" i="22" s="1"/>
  <c r="T246" i="22"/>
  <c r="W246" i="22" s="1"/>
  <c r="R245" i="22"/>
  <c r="U245" i="22" s="1"/>
  <c r="T244" i="22"/>
  <c r="W244" i="22" s="1"/>
  <c r="R243" i="22"/>
  <c r="U243" i="22" s="1"/>
  <c r="T242" i="22"/>
  <c r="W242" i="22" s="1"/>
  <c r="R241" i="22"/>
  <c r="U241" i="22" s="1"/>
  <c r="T240" i="22"/>
  <c r="W240" i="22" s="1"/>
  <c r="T233" i="22"/>
  <c r="W233" i="22" s="1"/>
  <c r="R232" i="22"/>
  <c r="U232" i="22" s="1"/>
  <c r="T231" i="22"/>
  <c r="W231" i="22" s="1"/>
  <c r="R230" i="22"/>
  <c r="U230" i="22" s="1"/>
  <c r="T229" i="22"/>
  <c r="W229" i="22" s="1"/>
  <c r="R228" i="22"/>
  <c r="U228" i="22" s="1"/>
  <c r="T227" i="22"/>
  <c r="W227" i="22" s="1"/>
  <c r="R226" i="22"/>
  <c r="U226" i="22" s="1"/>
  <c r="T225" i="22"/>
  <c r="W225" i="22" s="1"/>
  <c r="R224" i="22"/>
  <c r="U224" i="22" s="1"/>
  <c r="T223" i="22"/>
  <c r="W223" i="22" s="1"/>
  <c r="R222" i="22"/>
  <c r="U222" i="22" s="1"/>
  <c r="T221" i="22"/>
  <c r="W221" i="22" s="1"/>
  <c r="R220" i="22"/>
  <c r="U220" i="22" s="1"/>
  <c r="T219" i="22"/>
  <c r="W219" i="22" s="1"/>
  <c r="T212" i="22"/>
  <c r="W212" i="22" s="1"/>
  <c r="R211" i="22"/>
  <c r="U211" i="22" s="1"/>
  <c r="T210" i="22"/>
  <c r="W210" i="22" s="1"/>
  <c r="R209" i="22"/>
  <c r="U209" i="22" s="1"/>
  <c r="T208" i="22"/>
  <c r="W208" i="22" s="1"/>
  <c r="R207" i="22"/>
  <c r="U207" i="22" s="1"/>
  <c r="T206" i="22"/>
  <c r="W206" i="22" s="1"/>
  <c r="R205" i="22"/>
  <c r="U205" i="22" s="1"/>
  <c r="T204" i="22"/>
  <c r="W204" i="22" s="1"/>
  <c r="R203" i="22"/>
  <c r="U203" i="22" s="1"/>
  <c r="T202" i="22"/>
  <c r="W202" i="22" s="1"/>
  <c r="R201" i="22"/>
  <c r="U201" i="22" s="1"/>
  <c r="T200" i="22"/>
  <c r="W200" i="22" s="1"/>
  <c r="R199" i="22"/>
  <c r="U199" i="22" s="1"/>
  <c r="T198" i="22"/>
  <c r="W198" i="22" s="1"/>
  <c r="T191" i="22"/>
  <c r="W191" i="22" s="1"/>
  <c r="R190" i="22"/>
  <c r="U190" i="22" s="1"/>
  <c r="T189" i="22"/>
  <c r="W189" i="22" s="1"/>
  <c r="R188" i="22"/>
  <c r="U188" i="22" s="1"/>
  <c r="T187" i="22"/>
  <c r="W187" i="22" s="1"/>
  <c r="R186" i="22"/>
  <c r="U186" i="22" s="1"/>
  <c r="T185" i="22"/>
  <c r="W185" i="22" s="1"/>
  <c r="R184" i="22"/>
  <c r="U184" i="22" s="1"/>
  <c r="T183" i="22"/>
  <c r="W183" i="22" s="1"/>
  <c r="R182" i="22"/>
  <c r="U182" i="22" s="1"/>
  <c r="T181" i="22"/>
  <c r="W181" i="22" s="1"/>
  <c r="R180" i="22"/>
  <c r="U180" i="22" s="1"/>
  <c r="T179" i="22"/>
  <c r="W179" i="22" s="1"/>
  <c r="R178" i="22"/>
  <c r="U178" i="22" s="1"/>
  <c r="T177" i="22"/>
  <c r="W177" i="22" s="1"/>
  <c r="T170" i="22"/>
  <c r="W170" i="22" s="1"/>
  <c r="R169" i="22"/>
  <c r="U169" i="22" s="1"/>
  <c r="T168" i="22"/>
  <c r="W168" i="22" s="1"/>
  <c r="R167" i="22"/>
  <c r="U167" i="22" s="1"/>
  <c r="T166" i="22"/>
  <c r="W166" i="22" s="1"/>
  <c r="R165" i="22"/>
  <c r="U165" i="22" s="1"/>
  <c r="T164" i="22"/>
  <c r="W164" i="22" s="1"/>
  <c r="R163" i="22"/>
  <c r="U163" i="22" s="1"/>
  <c r="T162" i="22"/>
  <c r="W162" i="22" s="1"/>
  <c r="R161" i="22"/>
  <c r="U161" i="22" s="1"/>
  <c r="T160" i="22"/>
  <c r="W160" i="22" s="1"/>
  <c r="R159" i="22"/>
  <c r="U159" i="22" s="1"/>
  <c r="T158" i="22"/>
  <c r="W158" i="22" s="1"/>
  <c r="R157" i="22"/>
  <c r="U157" i="22" s="1"/>
  <c r="T156" i="22"/>
  <c r="W156" i="22" s="1"/>
  <c r="T149" i="22"/>
  <c r="W149" i="22" s="1"/>
  <c r="R148" i="22"/>
  <c r="U148" i="22" s="1"/>
  <c r="T147" i="22"/>
  <c r="W147" i="22" s="1"/>
  <c r="R146" i="22"/>
  <c r="U146" i="22" s="1"/>
  <c r="T145" i="22"/>
  <c r="W145" i="22" s="1"/>
  <c r="R144" i="22"/>
  <c r="U144" i="22" s="1"/>
  <c r="T143" i="22"/>
  <c r="W143" i="22" s="1"/>
  <c r="R142" i="22"/>
  <c r="U142" i="22" s="1"/>
  <c r="T141" i="22"/>
  <c r="W141" i="22" s="1"/>
  <c r="R140" i="22"/>
  <c r="U140" i="22" s="1"/>
  <c r="T139" i="22"/>
  <c r="W139" i="22" s="1"/>
  <c r="R138" i="22"/>
  <c r="U138" i="22" s="1"/>
  <c r="T137" i="22"/>
  <c r="W137" i="22" s="1"/>
  <c r="R136" i="22"/>
  <c r="U136" i="22" s="1"/>
  <c r="T135" i="22"/>
  <c r="W135" i="22" s="1"/>
  <c r="T128" i="22"/>
  <c r="W128" i="22" s="1"/>
  <c r="R127" i="22"/>
  <c r="U127" i="22" s="1"/>
  <c r="T126" i="22"/>
  <c r="W126" i="22" s="1"/>
  <c r="R125" i="22"/>
  <c r="U125" i="22" s="1"/>
  <c r="T124" i="22"/>
  <c r="W124" i="22" s="1"/>
  <c r="R123" i="22"/>
  <c r="U123" i="22" s="1"/>
  <c r="T122" i="22"/>
  <c r="W122" i="22" s="1"/>
  <c r="R121" i="22"/>
  <c r="U121" i="22" s="1"/>
  <c r="T120" i="22"/>
  <c r="W120" i="22" s="1"/>
  <c r="R119" i="22"/>
  <c r="U119" i="22" s="1"/>
  <c r="T118" i="22"/>
  <c r="W118" i="22" s="1"/>
  <c r="R117" i="22"/>
  <c r="U117" i="22" s="1"/>
  <c r="T116" i="22"/>
  <c r="W116" i="22" s="1"/>
  <c r="R115" i="22"/>
  <c r="U115" i="22" s="1"/>
  <c r="T114" i="22"/>
  <c r="W114" i="22" s="1"/>
  <c r="T107" i="22"/>
  <c r="W107" i="22" s="1"/>
  <c r="R106" i="22"/>
  <c r="U106" i="22" s="1"/>
  <c r="T105" i="22"/>
  <c r="W105" i="22" s="1"/>
  <c r="R104" i="22"/>
  <c r="U104" i="22" s="1"/>
  <c r="T103" i="22"/>
  <c r="W103" i="22" s="1"/>
  <c r="R102" i="22"/>
  <c r="U102" i="22" s="1"/>
  <c r="T101" i="22"/>
  <c r="W101" i="22" s="1"/>
  <c r="R100" i="22"/>
  <c r="U100" i="22" s="1"/>
  <c r="T99" i="22"/>
  <c r="W99" i="22" s="1"/>
  <c r="R98" i="22"/>
  <c r="U98" i="22" s="1"/>
  <c r="T97" i="22"/>
  <c r="W97" i="22" s="1"/>
  <c r="R96" i="22"/>
  <c r="U96" i="22" s="1"/>
  <c r="T95" i="22"/>
  <c r="W95" i="22" s="1"/>
  <c r="R94" i="22"/>
  <c r="U94" i="22" s="1"/>
  <c r="T93" i="22"/>
  <c r="W93" i="22" s="1"/>
  <c r="T86" i="22"/>
  <c r="W86" i="22" s="1"/>
  <c r="R85" i="22"/>
  <c r="U85" i="22" s="1"/>
  <c r="T84" i="22"/>
  <c r="W84" i="22" s="1"/>
  <c r="R83" i="22"/>
  <c r="U83" i="22" s="1"/>
  <c r="T82" i="22"/>
  <c r="W82" i="22" s="1"/>
  <c r="R81" i="22"/>
  <c r="U81" i="22" s="1"/>
  <c r="T80" i="22"/>
  <c r="W80" i="22" s="1"/>
  <c r="R79" i="22"/>
  <c r="U79" i="22" s="1"/>
  <c r="T78" i="22"/>
  <c r="W78" i="22" s="1"/>
  <c r="R77" i="22"/>
  <c r="U77" i="22" s="1"/>
  <c r="T76" i="22"/>
  <c r="W76" i="22" s="1"/>
  <c r="R75" i="22"/>
  <c r="U75" i="22" s="1"/>
  <c r="T74" i="22"/>
  <c r="W74" i="22" s="1"/>
  <c r="R73" i="22"/>
  <c r="U73" i="22" s="1"/>
  <c r="T72" i="22"/>
  <c r="T65" i="22"/>
  <c r="W65" i="22" s="1"/>
  <c r="R64" i="22"/>
  <c r="U64" i="22" s="1"/>
  <c r="T63" i="22"/>
  <c r="W63" i="22" s="1"/>
  <c r="R62" i="22"/>
  <c r="U62" i="22" s="1"/>
  <c r="T61" i="22"/>
  <c r="W61" i="22" s="1"/>
  <c r="R60" i="22"/>
  <c r="U60" i="22" s="1"/>
  <c r="T59" i="22"/>
  <c r="W59" i="22" s="1"/>
  <c r="R58" i="22"/>
  <c r="U58" i="22" s="1"/>
  <c r="T57" i="22"/>
  <c r="W57" i="22" s="1"/>
  <c r="R56" i="22"/>
  <c r="U56" i="22" s="1"/>
  <c r="T55" i="22"/>
  <c r="W55" i="22" s="1"/>
  <c r="R54" i="22"/>
  <c r="U54" i="22" s="1"/>
  <c r="T53" i="22"/>
  <c r="W53" i="22" s="1"/>
  <c r="R52" i="22"/>
  <c r="U52" i="22" s="1"/>
  <c r="T51" i="22"/>
  <c r="W51" i="22" s="1"/>
  <c r="O49" i="22"/>
  <c r="T44" i="22"/>
  <c r="W44" i="22" s="1"/>
  <c r="R43" i="22"/>
  <c r="U43" i="22" s="1"/>
  <c r="T42" i="22"/>
  <c r="W42" i="22" s="1"/>
  <c r="T40" i="22"/>
  <c r="W40" i="22" s="1"/>
  <c r="T38" i="22"/>
  <c r="W38" i="22" s="1"/>
  <c r="T36" i="22"/>
  <c r="W36" i="22" s="1"/>
  <c r="T34" i="22"/>
  <c r="W34" i="22" s="1"/>
  <c r="T32" i="22"/>
  <c r="W32" i="22" s="1"/>
  <c r="T30" i="22"/>
  <c r="W30" i="22" s="1"/>
  <c r="Q28" i="22"/>
  <c r="U114" i="21"/>
  <c r="W408" i="20"/>
  <c r="U282" i="20"/>
  <c r="W72" i="22"/>
  <c r="U387" i="21"/>
  <c r="U51" i="20"/>
  <c r="W9" i="19"/>
  <c r="U282" i="19"/>
  <c r="U324" i="19"/>
  <c r="U240" i="18"/>
  <c r="U408" i="18"/>
  <c r="U30" i="17"/>
  <c r="W260" i="20"/>
  <c r="W71" i="16"/>
  <c r="U114" i="16"/>
  <c r="U156" i="16"/>
  <c r="U198" i="15"/>
  <c r="U366" i="15"/>
  <c r="U30" i="14"/>
  <c r="U114" i="14"/>
  <c r="U198" i="14"/>
  <c r="U240" i="14"/>
  <c r="U366" i="14"/>
  <c r="U30" i="13"/>
  <c r="U114" i="13"/>
  <c r="U282" i="13"/>
  <c r="U366" i="13"/>
  <c r="U30" i="12"/>
  <c r="U198" i="12"/>
  <c r="U51" i="17"/>
  <c r="U93" i="17"/>
  <c r="U135" i="17"/>
  <c r="U177" i="17"/>
  <c r="U219" i="17"/>
  <c r="U261" i="17"/>
  <c r="U303" i="17"/>
  <c r="U345" i="17"/>
  <c r="U387" i="17"/>
  <c r="U9" i="16"/>
  <c r="U51" i="16"/>
  <c r="W344" i="12"/>
  <c r="W92" i="11"/>
  <c r="W302" i="12"/>
  <c r="W281" i="12"/>
  <c r="U323" i="12"/>
  <c r="U365" i="12"/>
  <c r="U324" i="21"/>
  <c r="U198" i="20"/>
  <c r="W366" i="20"/>
  <c r="U51" i="18"/>
  <c r="U93" i="18"/>
  <c r="U219" i="18"/>
  <c r="U303" i="18"/>
  <c r="W71" i="17"/>
  <c r="W155" i="17"/>
  <c r="W323" i="17"/>
  <c r="W365" i="17"/>
  <c r="W407" i="17"/>
  <c r="W29" i="16"/>
  <c r="U72" i="16"/>
  <c r="U93" i="16"/>
  <c r="U177" i="16"/>
  <c r="U135" i="14"/>
  <c r="U177" i="14"/>
  <c r="U219" i="14"/>
  <c r="U345" i="14"/>
  <c r="U387" i="14"/>
  <c r="U51" i="13"/>
  <c r="U93" i="13"/>
  <c r="U135" i="13"/>
  <c r="U177" i="13"/>
  <c r="U261" i="13"/>
  <c r="U303" i="13"/>
  <c r="U387" i="13"/>
  <c r="U9" i="12"/>
  <c r="U51" i="12"/>
  <c r="U93" i="12"/>
  <c r="U177" i="12"/>
  <c r="U219" i="12"/>
  <c r="W50" i="17"/>
  <c r="W92" i="17"/>
  <c r="W134" i="17"/>
  <c r="W176" i="17"/>
  <c r="W218" i="17"/>
  <c r="W260" i="17"/>
  <c r="W302" i="17"/>
  <c r="W344" i="17"/>
  <c r="W386" i="17"/>
  <c r="W8" i="16"/>
  <c r="W50" i="16"/>
  <c r="W386" i="12"/>
  <c r="U282" i="11"/>
  <c r="U72" i="10"/>
  <c r="M226" i="96"/>
  <c r="M235" i="96"/>
  <c r="T386" i="9"/>
  <c r="R386" i="9"/>
  <c r="U386" i="9" s="1"/>
  <c r="T387" i="9"/>
  <c r="W387" i="9" s="1"/>
  <c r="T389" i="9"/>
  <c r="W389" i="9" s="1"/>
  <c r="T391" i="9"/>
  <c r="W391" i="9" s="1"/>
  <c r="T393" i="9"/>
  <c r="W393" i="9" s="1"/>
  <c r="T395" i="9"/>
  <c r="W395" i="9" s="1"/>
  <c r="R325" i="9"/>
  <c r="R327" i="9"/>
  <c r="U327" i="9" s="1"/>
  <c r="R329" i="9"/>
  <c r="U329" i="9" s="1"/>
  <c r="R331" i="9"/>
  <c r="U331" i="9" s="1"/>
  <c r="R333" i="9"/>
  <c r="U333" i="9" s="1"/>
  <c r="R335" i="9"/>
  <c r="U335" i="9" s="1"/>
  <c r="R337" i="9"/>
  <c r="U337" i="9" s="1"/>
  <c r="T302" i="9"/>
  <c r="R302" i="9"/>
  <c r="T303" i="9"/>
  <c r="W303" i="9" s="1"/>
  <c r="T305" i="9"/>
  <c r="W305" i="9" s="1"/>
  <c r="T307" i="9"/>
  <c r="W307" i="9" s="1"/>
  <c r="T309" i="9"/>
  <c r="W309" i="9" s="1"/>
  <c r="T311" i="9"/>
  <c r="W311" i="9" s="1"/>
  <c r="T313" i="9"/>
  <c r="W313" i="9" s="1"/>
  <c r="T315" i="9"/>
  <c r="W315" i="9" s="1"/>
  <c r="T317" i="9"/>
  <c r="W317" i="9" s="1"/>
  <c r="R241" i="9"/>
  <c r="R243" i="9"/>
  <c r="U243" i="9" s="1"/>
  <c r="R245" i="9"/>
  <c r="U245" i="9" s="1"/>
  <c r="R247" i="9"/>
  <c r="U247" i="9" s="1"/>
  <c r="R249" i="9"/>
  <c r="U249" i="9" s="1"/>
  <c r="R251" i="9"/>
  <c r="U251" i="9" s="1"/>
  <c r="R253" i="9"/>
  <c r="U253" i="9" s="1"/>
  <c r="T218" i="9"/>
  <c r="R218" i="9"/>
  <c r="T219" i="9"/>
  <c r="W219" i="9" s="1"/>
  <c r="T221" i="9"/>
  <c r="W221" i="9" s="1"/>
  <c r="T223" i="9"/>
  <c r="W223" i="9" s="1"/>
  <c r="T225" i="9"/>
  <c r="W225" i="9" s="1"/>
  <c r="T227" i="9"/>
  <c r="W227" i="9" s="1"/>
  <c r="T229" i="9"/>
  <c r="W229" i="9" s="1"/>
  <c r="T231" i="9"/>
  <c r="W231" i="9" s="1"/>
  <c r="T233" i="9"/>
  <c r="W233" i="9" s="1"/>
  <c r="R157" i="9"/>
  <c r="U157" i="9" s="1"/>
  <c r="R159" i="9"/>
  <c r="U159" i="9" s="1"/>
  <c r="R161" i="9"/>
  <c r="U161" i="9" s="1"/>
  <c r="R163" i="9"/>
  <c r="U163" i="9" s="1"/>
  <c r="R165" i="9"/>
  <c r="U165" i="9" s="1"/>
  <c r="R167" i="9"/>
  <c r="U167" i="9" s="1"/>
  <c r="R169" i="9"/>
  <c r="U169" i="9" s="1"/>
  <c r="T134" i="9"/>
  <c r="R134" i="9"/>
  <c r="U134" i="9" s="1"/>
  <c r="T135" i="9"/>
  <c r="W135" i="9" s="1"/>
  <c r="T137" i="9"/>
  <c r="W137" i="9" s="1"/>
  <c r="T139" i="9"/>
  <c r="W139" i="9" s="1"/>
  <c r="T141" i="9"/>
  <c r="W141" i="9" s="1"/>
  <c r="T143" i="9"/>
  <c r="W143" i="9" s="1"/>
  <c r="T145" i="9"/>
  <c r="W145" i="9" s="1"/>
  <c r="T147" i="9"/>
  <c r="W147" i="9" s="1"/>
  <c r="T149" i="9"/>
  <c r="W149" i="9" s="1"/>
  <c r="R85" i="8"/>
  <c r="U85" i="8" s="1"/>
  <c r="R83" i="8"/>
  <c r="U83" i="8" s="1"/>
  <c r="R81" i="8"/>
  <c r="U81" i="8" s="1"/>
  <c r="R79" i="8"/>
  <c r="U79" i="8" s="1"/>
  <c r="R77" i="8"/>
  <c r="U77" i="8" s="1"/>
  <c r="R75" i="8"/>
  <c r="T65" i="8"/>
  <c r="W65" i="8" s="1"/>
  <c r="T63" i="8"/>
  <c r="W63" i="8" s="1"/>
  <c r="T61" i="8"/>
  <c r="W61" i="8" s="1"/>
  <c r="T59" i="8"/>
  <c r="W59" i="8" s="1"/>
  <c r="T57" i="8"/>
  <c r="W57" i="8" s="1"/>
  <c r="T55" i="8"/>
  <c r="W55" i="8" s="1"/>
  <c r="T53" i="8"/>
  <c r="W53" i="8" s="1"/>
  <c r="T51" i="8"/>
  <c r="R50" i="8"/>
  <c r="R43" i="8"/>
  <c r="U43" i="8" s="1"/>
  <c r="R41" i="8"/>
  <c r="U41" i="8" s="1"/>
  <c r="R39" i="8"/>
  <c r="U39" i="8" s="1"/>
  <c r="R37" i="8"/>
  <c r="U37" i="8" s="1"/>
  <c r="R35" i="8"/>
  <c r="U35" i="8" s="1"/>
  <c r="R33" i="8"/>
  <c r="T23" i="8"/>
  <c r="W23" i="8" s="1"/>
  <c r="T21" i="8"/>
  <c r="W21" i="8" s="1"/>
  <c r="T19" i="8"/>
  <c r="W19" i="8" s="1"/>
  <c r="T17" i="8"/>
  <c r="W17" i="8" s="1"/>
  <c r="T15" i="8"/>
  <c r="W15" i="8" s="1"/>
  <c r="T13" i="8"/>
  <c r="W13" i="8" s="1"/>
  <c r="T11" i="8"/>
  <c r="W11" i="8" s="1"/>
  <c r="T9" i="8"/>
  <c r="R8" i="8"/>
  <c r="R421" i="9"/>
  <c r="U421" i="9" s="1"/>
  <c r="R419" i="9"/>
  <c r="U419" i="9" s="1"/>
  <c r="R417" i="9"/>
  <c r="U417" i="9" s="1"/>
  <c r="R415" i="9"/>
  <c r="U415" i="9" s="1"/>
  <c r="R413" i="9"/>
  <c r="U413" i="9" s="1"/>
  <c r="R411" i="9"/>
  <c r="U411" i="9" s="1"/>
  <c r="T401" i="9"/>
  <c r="W401" i="9" s="1"/>
  <c r="T399" i="9"/>
  <c r="W399" i="9" s="1"/>
  <c r="T397" i="9"/>
  <c r="W397" i="9" s="1"/>
  <c r="R396" i="9"/>
  <c r="U396" i="9" s="1"/>
  <c r="R394" i="9"/>
  <c r="U394" i="9" s="1"/>
  <c r="R392" i="9"/>
  <c r="U392" i="9" s="1"/>
  <c r="R390" i="9"/>
  <c r="U390" i="9" s="1"/>
  <c r="O343" i="9"/>
  <c r="Q343" i="9"/>
  <c r="R316" i="9"/>
  <c r="U316" i="9" s="1"/>
  <c r="R314" i="9"/>
  <c r="U314" i="9" s="1"/>
  <c r="R312" i="9"/>
  <c r="U312" i="9" s="1"/>
  <c r="R310" i="9"/>
  <c r="U310" i="9" s="1"/>
  <c r="R308" i="9"/>
  <c r="U308" i="9" s="1"/>
  <c r="R306" i="9"/>
  <c r="U306" i="9" s="1"/>
  <c r="O259" i="9"/>
  <c r="Q259" i="9"/>
  <c r="R232" i="9"/>
  <c r="U232" i="9" s="1"/>
  <c r="R230" i="9"/>
  <c r="U230" i="9" s="1"/>
  <c r="R228" i="9"/>
  <c r="U228" i="9" s="1"/>
  <c r="R226" i="9"/>
  <c r="U226" i="9" s="1"/>
  <c r="R224" i="9"/>
  <c r="U224" i="9" s="1"/>
  <c r="R222" i="9"/>
  <c r="U222" i="9" s="1"/>
  <c r="O175" i="9"/>
  <c r="Q175" i="9"/>
  <c r="R148" i="9"/>
  <c r="U148" i="9" s="1"/>
  <c r="R146" i="9"/>
  <c r="U146" i="9" s="1"/>
  <c r="R144" i="9"/>
  <c r="U144" i="9" s="1"/>
  <c r="R142" i="9"/>
  <c r="U142" i="9" s="1"/>
  <c r="R140" i="9"/>
  <c r="U140" i="9" s="1"/>
  <c r="R138" i="9"/>
  <c r="U138" i="9" s="1"/>
  <c r="R367" i="9"/>
  <c r="U367" i="9" s="1"/>
  <c r="R369" i="9"/>
  <c r="U369" i="9" s="1"/>
  <c r="R371" i="9"/>
  <c r="U371" i="9" s="1"/>
  <c r="R373" i="9"/>
  <c r="U373" i="9" s="1"/>
  <c r="R375" i="9"/>
  <c r="U375" i="9" s="1"/>
  <c r="R377" i="9"/>
  <c r="U377" i="9" s="1"/>
  <c r="R379" i="9"/>
  <c r="U379" i="9" s="1"/>
  <c r="T344" i="9"/>
  <c r="R344" i="9"/>
  <c r="U344" i="9" s="1"/>
  <c r="T345" i="9"/>
  <c r="W345" i="9" s="1"/>
  <c r="T347" i="9"/>
  <c r="W347" i="9" s="1"/>
  <c r="T349" i="9"/>
  <c r="W349" i="9" s="1"/>
  <c r="T351" i="9"/>
  <c r="W351" i="9" s="1"/>
  <c r="T353" i="9"/>
  <c r="W353" i="9" s="1"/>
  <c r="T355" i="9"/>
  <c r="W355" i="9" s="1"/>
  <c r="T357" i="9"/>
  <c r="W357" i="9" s="1"/>
  <c r="T359" i="9"/>
  <c r="W359" i="9" s="1"/>
  <c r="R283" i="9"/>
  <c r="R285" i="9"/>
  <c r="U285" i="9" s="1"/>
  <c r="R287" i="9"/>
  <c r="U287" i="9" s="1"/>
  <c r="R289" i="9"/>
  <c r="U289" i="9" s="1"/>
  <c r="R291" i="9"/>
  <c r="U291" i="9" s="1"/>
  <c r="R293" i="9"/>
  <c r="U293" i="9" s="1"/>
  <c r="R295" i="9"/>
  <c r="U295" i="9" s="1"/>
  <c r="T260" i="9"/>
  <c r="W260" i="9" s="1"/>
  <c r="R260" i="9"/>
  <c r="T261" i="9"/>
  <c r="W261" i="9" s="1"/>
  <c r="T263" i="9"/>
  <c r="W263" i="9" s="1"/>
  <c r="T265" i="9"/>
  <c r="W265" i="9" s="1"/>
  <c r="T267" i="9"/>
  <c r="W267" i="9" s="1"/>
  <c r="T269" i="9"/>
  <c r="W269" i="9" s="1"/>
  <c r="T271" i="9"/>
  <c r="W271" i="9" s="1"/>
  <c r="T273" i="9"/>
  <c r="W273" i="9" s="1"/>
  <c r="T275" i="9"/>
  <c r="W275" i="9" s="1"/>
  <c r="R199" i="9"/>
  <c r="R201" i="9"/>
  <c r="U201" i="9" s="1"/>
  <c r="R203" i="9"/>
  <c r="U203" i="9" s="1"/>
  <c r="R205" i="9"/>
  <c r="U205" i="9" s="1"/>
  <c r="R207" i="9"/>
  <c r="U207" i="9" s="1"/>
  <c r="R209" i="9"/>
  <c r="U209" i="9" s="1"/>
  <c r="R211" i="9"/>
  <c r="U211" i="9" s="1"/>
  <c r="T176" i="9"/>
  <c r="R176" i="9"/>
  <c r="T177" i="9"/>
  <c r="W177" i="9" s="1"/>
  <c r="T179" i="9"/>
  <c r="W179" i="9" s="1"/>
  <c r="T181" i="9"/>
  <c r="W181" i="9" s="1"/>
  <c r="T183" i="9"/>
  <c r="W183" i="9" s="1"/>
  <c r="T185" i="9"/>
  <c r="W185" i="9" s="1"/>
  <c r="T187" i="9"/>
  <c r="W187" i="9" s="1"/>
  <c r="T189" i="9"/>
  <c r="W189" i="9" s="1"/>
  <c r="T191" i="9"/>
  <c r="W191" i="9" s="1"/>
  <c r="R115" i="9"/>
  <c r="R117" i="9"/>
  <c r="U117" i="9" s="1"/>
  <c r="R119" i="9"/>
  <c r="U119" i="9" s="1"/>
  <c r="R121" i="9"/>
  <c r="U121" i="9" s="1"/>
  <c r="R123" i="9"/>
  <c r="U123" i="9" s="1"/>
  <c r="R125" i="9"/>
  <c r="U125" i="9" s="1"/>
  <c r="R127" i="9"/>
  <c r="U127" i="9" s="1"/>
  <c r="T92" i="9"/>
  <c r="R92" i="9"/>
  <c r="T93" i="9"/>
  <c r="W93" i="9" s="1"/>
  <c r="T95" i="9"/>
  <c r="W95" i="9" s="1"/>
  <c r="T97" i="9"/>
  <c r="W97" i="9" s="1"/>
  <c r="T99" i="9"/>
  <c r="W99" i="9" s="1"/>
  <c r="T101" i="9"/>
  <c r="W101" i="9" s="1"/>
  <c r="T103" i="9"/>
  <c r="W103" i="9" s="1"/>
  <c r="T105" i="9"/>
  <c r="W105" i="9" s="1"/>
  <c r="T107" i="9"/>
  <c r="W107" i="9" s="1"/>
  <c r="R95" i="96"/>
  <c r="T422" i="8"/>
  <c r="W422" i="8" s="1"/>
  <c r="T420" i="8"/>
  <c r="W420" i="8" s="1"/>
  <c r="T418" i="8"/>
  <c r="W418" i="8" s="1"/>
  <c r="T416" i="8"/>
  <c r="W416" i="8" s="1"/>
  <c r="T414" i="8"/>
  <c r="W414" i="8" s="1"/>
  <c r="T412" i="8"/>
  <c r="W412" i="8" s="1"/>
  <c r="T410" i="8"/>
  <c r="W410" i="8" s="1"/>
  <c r="T408" i="8"/>
  <c r="W408" i="8" s="1"/>
  <c r="R407" i="8"/>
  <c r="U407" i="8" s="1"/>
  <c r="R400" i="8"/>
  <c r="U400" i="8" s="1"/>
  <c r="R398" i="8"/>
  <c r="U398" i="8" s="1"/>
  <c r="R396" i="8"/>
  <c r="U396" i="8" s="1"/>
  <c r="R394" i="8"/>
  <c r="U394" i="8" s="1"/>
  <c r="R392" i="8"/>
  <c r="U392" i="8" s="1"/>
  <c r="R390" i="8"/>
  <c r="T380" i="8"/>
  <c r="W380" i="8" s="1"/>
  <c r="T378" i="8"/>
  <c r="W378" i="8" s="1"/>
  <c r="T376" i="8"/>
  <c r="W376" i="8" s="1"/>
  <c r="T374" i="8"/>
  <c r="W374" i="8" s="1"/>
  <c r="T372" i="8"/>
  <c r="W372" i="8" s="1"/>
  <c r="T370" i="8"/>
  <c r="W370" i="8" s="1"/>
  <c r="T368" i="8"/>
  <c r="W368" i="8" s="1"/>
  <c r="T366" i="8"/>
  <c r="R365" i="8"/>
  <c r="R358" i="8"/>
  <c r="U358" i="8" s="1"/>
  <c r="R356" i="8"/>
  <c r="U356" i="8" s="1"/>
  <c r="R354" i="8"/>
  <c r="U354" i="8" s="1"/>
  <c r="R352" i="8"/>
  <c r="U352" i="8" s="1"/>
  <c r="R350" i="8"/>
  <c r="U350" i="8" s="1"/>
  <c r="R348" i="8"/>
  <c r="T338" i="8"/>
  <c r="W338" i="8" s="1"/>
  <c r="T336" i="8"/>
  <c r="W336" i="8" s="1"/>
  <c r="T334" i="8"/>
  <c r="W334" i="8" s="1"/>
  <c r="T332" i="8"/>
  <c r="W332" i="8" s="1"/>
  <c r="T330" i="8"/>
  <c r="W330" i="8" s="1"/>
  <c r="T328" i="8"/>
  <c r="W328" i="8" s="1"/>
  <c r="T326" i="8"/>
  <c r="W326" i="8" s="1"/>
  <c r="T324" i="8"/>
  <c r="R323" i="8"/>
  <c r="R316" i="8"/>
  <c r="U316" i="8" s="1"/>
  <c r="R314" i="8"/>
  <c r="U314" i="8" s="1"/>
  <c r="R312" i="8"/>
  <c r="U312" i="8" s="1"/>
  <c r="R310" i="8"/>
  <c r="U310" i="8" s="1"/>
  <c r="R308" i="8"/>
  <c r="U308" i="8" s="1"/>
  <c r="R306" i="8"/>
  <c r="U306" i="8" s="1"/>
  <c r="T296" i="8"/>
  <c r="W296" i="8" s="1"/>
  <c r="T294" i="8"/>
  <c r="W294" i="8" s="1"/>
  <c r="T292" i="8"/>
  <c r="W292" i="8" s="1"/>
  <c r="T290" i="8"/>
  <c r="W290" i="8" s="1"/>
  <c r="T288" i="8"/>
  <c r="W288" i="8" s="1"/>
  <c r="T286" i="8"/>
  <c r="W286" i="8" s="1"/>
  <c r="T284" i="8"/>
  <c r="W284" i="8" s="1"/>
  <c r="T282" i="8"/>
  <c r="R281" i="8"/>
  <c r="R274" i="8"/>
  <c r="U274" i="8" s="1"/>
  <c r="R272" i="8"/>
  <c r="U272" i="8" s="1"/>
  <c r="R270" i="8"/>
  <c r="U270" i="8" s="1"/>
  <c r="R268" i="8"/>
  <c r="U268" i="8" s="1"/>
  <c r="R266" i="8"/>
  <c r="U266" i="8" s="1"/>
  <c r="R264" i="8"/>
  <c r="T254" i="8"/>
  <c r="W254" i="8" s="1"/>
  <c r="T252" i="8"/>
  <c r="W252" i="8" s="1"/>
  <c r="T250" i="8"/>
  <c r="W250" i="8" s="1"/>
  <c r="T248" i="8"/>
  <c r="W248" i="8" s="1"/>
  <c r="T246" i="8"/>
  <c r="W246" i="8" s="1"/>
  <c r="T244" i="8"/>
  <c r="W244" i="8" s="1"/>
  <c r="T242" i="8"/>
  <c r="W242" i="8" s="1"/>
  <c r="T240" i="8"/>
  <c r="W240" i="8" s="1"/>
  <c r="R239" i="8"/>
  <c r="R232" i="8"/>
  <c r="U232" i="8" s="1"/>
  <c r="R230" i="8"/>
  <c r="U230" i="8" s="1"/>
  <c r="R228" i="8"/>
  <c r="U228" i="8" s="1"/>
  <c r="R226" i="8"/>
  <c r="U226" i="8" s="1"/>
  <c r="R224" i="8"/>
  <c r="U224" i="8" s="1"/>
  <c r="R222" i="8"/>
  <c r="T212" i="8"/>
  <c r="W212" i="8" s="1"/>
  <c r="T210" i="8"/>
  <c r="W210" i="8" s="1"/>
  <c r="T208" i="8"/>
  <c r="W208" i="8" s="1"/>
  <c r="T206" i="8"/>
  <c r="W206" i="8" s="1"/>
  <c r="T204" i="8"/>
  <c r="W204" i="8" s="1"/>
  <c r="T202" i="8"/>
  <c r="W202" i="8" s="1"/>
  <c r="T200" i="8"/>
  <c r="W200" i="8" s="1"/>
  <c r="T198" i="8"/>
  <c r="R197" i="8"/>
  <c r="U197" i="8" s="1"/>
  <c r="R190" i="8"/>
  <c r="U190" i="8" s="1"/>
  <c r="R188" i="8"/>
  <c r="U188" i="8" s="1"/>
  <c r="R186" i="8"/>
  <c r="U186" i="8" s="1"/>
  <c r="R184" i="8"/>
  <c r="U184" i="8" s="1"/>
  <c r="R182" i="8"/>
  <c r="U182" i="8" s="1"/>
  <c r="R180" i="8"/>
  <c r="T170" i="8"/>
  <c r="W170" i="8" s="1"/>
  <c r="T168" i="8"/>
  <c r="W168" i="8" s="1"/>
  <c r="T166" i="8"/>
  <c r="W166" i="8" s="1"/>
  <c r="T164" i="8"/>
  <c r="W164" i="8" s="1"/>
  <c r="T162" i="8"/>
  <c r="W162" i="8" s="1"/>
  <c r="T160" i="8"/>
  <c r="W160" i="8" s="1"/>
  <c r="T158" i="8"/>
  <c r="W158" i="8" s="1"/>
  <c r="T156" i="8"/>
  <c r="R155" i="8"/>
  <c r="R148" i="8"/>
  <c r="U148" i="8" s="1"/>
  <c r="R146" i="8"/>
  <c r="U146" i="8" s="1"/>
  <c r="R144" i="8"/>
  <c r="U144" i="8" s="1"/>
  <c r="R142" i="8"/>
  <c r="U142" i="8" s="1"/>
  <c r="R140" i="8"/>
  <c r="U140" i="8" s="1"/>
  <c r="R138" i="8"/>
  <c r="T128" i="8"/>
  <c r="W128" i="8" s="1"/>
  <c r="T126" i="8"/>
  <c r="W126" i="8" s="1"/>
  <c r="T124" i="8"/>
  <c r="W124" i="8" s="1"/>
  <c r="T122" i="8"/>
  <c r="W122" i="8" s="1"/>
  <c r="T120" i="8"/>
  <c r="W120" i="8" s="1"/>
  <c r="T118" i="8"/>
  <c r="W118" i="8" s="1"/>
  <c r="T116" i="8"/>
  <c r="W116" i="8" s="1"/>
  <c r="T114" i="8"/>
  <c r="R113" i="8"/>
  <c r="R106" i="8"/>
  <c r="U106" i="8" s="1"/>
  <c r="R104" i="8"/>
  <c r="U104" i="8" s="1"/>
  <c r="R102" i="8"/>
  <c r="U102" i="8" s="1"/>
  <c r="R100" i="8"/>
  <c r="U100" i="8" s="1"/>
  <c r="R98" i="8"/>
  <c r="U98" i="8" s="1"/>
  <c r="R96" i="8"/>
  <c r="U96" i="8" s="1"/>
  <c r="O385" i="9"/>
  <c r="O301" i="9"/>
  <c r="O217" i="9"/>
  <c r="O133" i="9"/>
  <c r="R52" i="9"/>
  <c r="U52" i="9" s="1"/>
  <c r="R54" i="9"/>
  <c r="U54" i="9" s="1"/>
  <c r="R56" i="9"/>
  <c r="U56" i="9" s="1"/>
  <c r="R58" i="9"/>
  <c r="U58" i="9" s="1"/>
  <c r="R60" i="9"/>
  <c r="U60" i="9" s="1"/>
  <c r="R62" i="9"/>
  <c r="U62" i="9" s="1"/>
  <c r="R64" i="9"/>
  <c r="U64" i="9" s="1"/>
  <c r="T29" i="9"/>
  <c r="W29" i="9" s="1"/>
  <c r="R29" i="9"/>
  <c r="U29" i="9" s="1"/>
  <c r="T30" i="9"/>
  <c r="W30" i="9" s="1"/>
  <c r="T32" i="9"/>
  <c r="W32" i="9" s="1"/>
  <c r="T34" i="9"/>
  <c r="W34" i="9" s="1"/>
  <c r="T36" i="9"/>
  <c r="W36" i="9" s="1"/>
  <c r="T38" i="9"/>
  <c r="W38" i="9" s="1"/>
  <c r="T40" i="9"/>
  <c r="W40" i="9" s="1"/>
  <c r="T42" i="9"/>
  <c r="W42" i="9" s="1"/>
  <c r="T44" i="9"/>
  <c r="W44" i="9" s="1"/>
  <c r="R388" i="10"/>
  <c r="R390" i="10"/>
  <c r="U390" i="10" s="1"/>
  <c r="R392" i="10"/>
  <c r="U392" i="10" s="1"/>
  <c r="R394" i="10"/>
  <c r="U394" i="10" s="1"/>
  <c r="R396" i="10"/>
  <c r="U396" i="10" s="1"/>
  <c r="R398" i="10"/>
  <c r="U398" i="10" s="1"/>
  <c r="R400" i="10"/>
  <c r="U400" i="10" s="1"/>
  <c r="T365" i="10"/>
  <c r="R365" i="10"/>
  <c r="T366" i="10"/>
  <c r="W366" i="10" s="1"/>
  <c r="T368" i="10"/>
  <c r="W368" i="10" s="1"/>
  <c r="T370" i="10"/>
  <c r="W370" i="10" s="1"/>
  <c r="T372" i="10"/>
  <c r="W372" i="10" s="1"/>
  <c r="T374" i="10"/>
  <c r="W374" i="10" s="1"/>
  <c r="T376" i="10"/>
  <c r="W376" i="10" s="1"/>
  <c r="T378" i="10"/>
  <c r="W378" i="10" s="1"/>
  <c r="T380" i="10"/>
  <c r="W380" i="10" s="1"/>
  <c r="R304" i="10"/>
  <c r="R306" i="10"/>
  <c r="U306" i="10" s="1"/>
  <c r="R308" i="10"/>
  <c r="U308" i="10" s="1"/>
  <c r="R310" i="10"/>
  <c r="U310" i="10" s="1"/>
  <c r="R312" i="10"/>
  <c r="U312" i="10" s="1"/>
  <c r="R314" i="10"/>
  <c r="U314" i="10" s="1"/>
  <c r="R316" i="10"/>
  <c r="U316" i="10" s="1"/>
  <c r="R260" i="10"/>
  <c r="R262" i="10"/>
  <c r="R264" i="10"/>
  <c r="U264" i="10" s="1"/>
  <c r="R266" i="10"/>
  <c r="U266" i="10" s="1"/>
  <c r="R268" i="10"/>
  <c r="R270" i="10"/>
  <c r="R272" i="10"/>
  <c r="U272" i="10" s="1"/>
  <c r="R274" i="10"/>
  <c r="U274" i="10" s="1"/>
  <c r="R239" i="10"/>
  <c r="R241" i="10"/>
  <c r="U241" i="10" s="1"/>
  <c r="R243" i="10"/>
  <c r="U243" i="10" s="1"/>
  <c r="R245" i="10"/>
  <c r="U245" i="10" s="1"/>
  <c r="R247" i="10"/>
  <c r="U247" i="10" s="1"/>
  <c r="R249" i="10"/>
  <c r="U249" i="10" s="1"/>
  <c r="R251" i="10"/>
  <c r="U251" i="10" s="1"/>
  <c r="R253" i="10"/>
  <c r="U253" i="10" s="1"/>
  <c r="R176" i="10"/>
  <c r="U176" i="10" s="1"/>
  <c r="R178" i="10"/>
  <c r="R180" i="10"/>
  <c r="U180" i="10" s="1"/>
  <c r="R182" i="10"/>
  <c r="U182" i="10" s="1"/>
  <c r="R184" i="10"/>
  <c r="U184" i="10" s="1"/>
  <c r="R186" i="10"/>
  <c r="R188" i="10"/>
  <c r="U188" i="10" s="1"/>
  <c r="R190" i="10"/>
  <c r="U190" i="10" s="1"/>
  <c r="R155" i="10"/>
  <c r="R157" i="10"/>
  <c r="U157" i="10" s="1"/>
  <c r="R159" i="10"/>
  <c r="U159" i="10" s="1"/>
  <c r="R161" i="10"/>
  <c r="U161" i="10" s="1"/>
  <c r="R163" i="10"/>
  <c r="U163" i="10" s="1"/>
  <c r="R165" i="10"/>
  <c r="U165" i="10" s="1"/>
  <c r="R167" i="10"/>
  <c r="U167" i="10" s="1"/>
  <c r="R169" i="10"/>
  <c r="U169" i="10" s="1"/>
  <c r="R92" i="10"/>
  <c r="U92" i="10" s="1"/>
  <c r="R94" i="10"/>
  <c r="U94" i="10" s="1"/>
  <c r="R96" i="10"/>
  <c r="U96" i="10" s="1"/>
  <c r="R98" i="10"/>
  <c r="U98" i="10" s="1"/>
  <c r="R100" i="10"/>
  <c r="U100" i="10" s="1"/>
  <c r="R102" i="10"/>
  <c r="R104" i="10"/>
  <c r="U104" i="10" s="1"/>
  <c r="R106" i="10"/>
  <c r="U106" i="10" s="1"/>
  <c r="R71" i="10"/>
  <c r="R73" i="10"/>
  <c r="U73" i="10" s="1"/>
  <c r="R75" i="10"/>
  <c r="U75" i="10" s="1"/>
  <c r="R77" i="10"/>
  <c r="U77" i="10" s="1"/>
  <c r="R79" i="10"/>
  <c r="U79" i="10" s="1"/>
  <c r="R81" i="10"/>
  <c r="U81" i="10" s="1"/>
  <c r="R83" i="10"/>
  <c r="U83" i="10" s="1"/>
  <c r="R85" i="10"/>
  <c r="U85" i="10" s="1"/>
  <c r="R10" i="10"/>
  <c r="R12" i="10"/>
  <c r="U12" i="10" s="1"/>
  <c r="R14" i="10"/>
  <c r="U14" i="10" s="1"/>
  <c r="R16" i="10"/>
  <c r="U16" i="10" s="1"/>
  <c r="R18" i="10"/>
  <c r="U18" i="10" s="1"/>
  <c r="R20" i="10"/>
  <c r="U20" i="10" s="1"/>
  <c r="R22" i="10"/>
  <c r="U22" i="10" s="1"/>
  <c r="T407" i="11"/>
  <c r="W407" i="11" s="1"/>
  <c r="R407" i="11"/>
  <c r="T408" i="11"/>
  <c r="W408" i="11" s="1"/>
  <c r="T410" i="11"/>
  <c r="W410" i="11" s="1"/>
  <c r="T412" i="11"/>
  <c r="W412" i="11" s="1"/>
  <c r="T414" i="11"/>
  <c r="W414" i="11" s="1"/>
  <c r="T416" i="11"/>
  <c r="W416" i="11" s="1"/>
  <c r="T418" i="11"/>
  <c r="W418" i="11" s="1"/>
  <c r="T420" i="11"/>
  <c r="W420" i="11" s="1"/>
  <c r="T422" i="11"/>
  <c r="W422" i="11" s="1"/>
  <c r="R346" i="11"/>
  <c r="R348" i="11"/>
  <c r="U348" i="11" s="1"/>
  <c r="R350" i="11"/>
  <c r="U350" i="11" s="1"/>
  <c r="R352" i="11"/>
  <c r="U352" i="11" s="1"/>
  <c r="R354" i="11"/>
  <c r="U354" i="11" s="1"/>
  <c r="R356" i="11"/>
  <c r="U356" i="11" s="1"/>
  <c r="R358" i="11"/>
  <c r="U358" i="11" s="1"/>
  <c r="T323" i="11"/>
  <c r="R323" i="11"/>
  <c r="T324" i="11"/>
  <c r="W324" i="11" s="1"/>
  <c r="T326" i="11"/>
  <c r="W326" i="11" s="1"/>
  <c r="T328" i="11"/>
  <c r="W328" i="11" s="1"/>
  <c r="T330" i="11"/>
  <c r="W330" i="11" s="1"/>
  <c r="T332" i="11"/>
  <c r="W332" i="11" s="1"/>
  <c r="T334" i="11"/>
  <c r="W334" i="11" s="1"/>
  <c r="T336" i="11"/>
  <c r="W336" i="11" s="1"/>
  <c r="T338" i="11"/>
  <c r="W338" i="11" s="1"/>
  <c r="R262" i="11"/>
  <c r="R264" i="11"/>
  <c r="U264" i="11" s="1"/>
  <c r="R266" i="11"/>
  <c r="U266" i="11" s="1"/>
  <c r="R268" i="11"/>
  <c r="U268" i="11" s="1"/>
  <c r="R270" i="11"/>
  <c r="U270" i="11" s="1"/>
  <c r="R272" i="11"/>
  <c r="U272" i="11" s="1"/>
  <c r="R274" i="11"/>
  <c r="U274" i="11" s="1"/>
  <c r="R240" i="11"/>
  <c r="R242" i="11"/>
  <c r="U242" i="11" s="1"/>
  <c r="R244" i="11"/>
  <c r="U244" i="11" s="1"/>
  <c r="R246" i="11"/>
  <c r="U246" i="11" s="1"/>
  <c r="R248" i="11"/>
  <c r="U248" i="11" s="1"/>
  <c r="R250" i="11"/>
  <c r="U250" i="11" s="1"/>
  <c r="R252" i="11"/>
  <c r="U252" i="11" s="1"/>
  <c r="R254" i="11"/>
  <c r="U254" i="11" s="1"/>
  <c r="R177" i="11"/>
  <c r="R179" i="11"/>
  <c r="U179" i="11" s="1"/>
  <c r="R181" i="11"/>
  <c r="U181" i="11" s="1"/>
  <c r="R183" i="11"/>
  <c r="U183" i="11" s="1"/>
  <c r="R185" i="11"/>
  <c r="U185" i="11" s="1"/>
  <c r="R187" i="11"/>
  <c r="U187" i="11" s="1"/>
  <c r="R189" i="11"/>
  <c r="U189" i="11" s="1"/>
  <c r="R191" i="11"/>
  <c r="T113" i="11"/>
  <c r="W113" i="11" s="1"/>
  <c r="T115" i="11"/>
  <c r="W115" i="11" s="1"/>
  <c r="T117" i="11"/>
  <c r="W117" i="11" s="1"/>
  <c r="T119" i="11"/>
  <c r="W119" i="11" s="1"/>
  <c r="T121" i="11"/>
  <c r="W121" i="11" s="1"/>
  <c r="T123" i="11"/>
  <c r="W123" i="11" s="1"/>
  <c r="T125" i="11"/>
  <c r="W125" i="11" s="1"/>
  <c r="T127" i="11"/>
  <c r="W127" i="11" s="1"/>
  <c r="R72" i="11"/>
  <c r="R74" i="11"/>
  <c r="U74" i="11" s="1"/>
  <c r="R76" i="11"/>
  <c r="U76" i="11" s="1"/>
  <c r="R78" i="11"/>
  <c r="U78" i="11" s="1"/>
  <c r="R80" i="11"/>
  <c r="U80" i="11" s="1"/>
  <c r="R82" i="11"/>
  <c r="U82" i="11" s="1"/>
  <c r="R84" i="11"/>
  <c r="U84" i="11" s="1"/>
  <c r="R86" i="11"/>
  <c r="U86" i="11" s="1"/>
  <c r="R9" i="11"/>
  <c r="R11" i="11"/>
  <c r="U11" i="11" s="1"/>
  <c r="R13" i="11"/>
  <c r="U13" i="11" s="1"/>
  <c r="R15" i="11"/>
  <c r="U15" i="11" s="1"/>
  <c r="R17" i="11"/>
  <c r="U17" i="11" s="1"/>
  <c r="R19" i="11"/>
  <c r="U19" i="11" s="1"/>
  <c r="R21" i="11"/>
  <c r="U21" i="11" s="1"/>
  <c r="R23" i="11"/>
  <c r="U23" i="11" s="1"/>
  <c r="T365" i="12"/>
  <c r="W365" i="12" s="1"/>
  <c r="T367" i="12"/>
  <c r="W367" i="12" s="1"/>
  <c r="T369" i="12"/>
  <c r="W369" i="12" s="1"/>
  <c r="T371" i="12"/>
  <c r="W371" i="12" s="1"/>
  <c r="T373" i="12"/>
  <c r="W373" i="12" s="1"/>
  <c r="T375" i="12"/>
  <c r="W375" i="12" s="1"/>
  <c r="T377" i="12"/>
  <c r="W377" i="12" s="1"/>
  <c r="T379" i="12"/>
  <c r="W379" i="12" s="1"/>
  <c r="R324" i="12"/>
  <c r="R326" i="12"/>
  <c r="U326" i="12" s="1"/>
  <c r="R328" i="12"/>
  <c r="U328" i="12" s="1"/>
  <c r="R330" i="12"/>
  <c r="U330" i="12" s="1"/>
  <c r="R332" i="12"/>
  <c r="U332" i="12" s="1"/>
  <c r="R334" i="12"/>
  <c r="U334" i="12" s="1"/>
  <c r="R336" i="12"/>
  <c r="U336" i="12" s="1"/>
  <c r="R338" i="12"/>
  <c r="U338" i="12" s="1"/>
  <c r="T260" i="12"/>
  <c r="R260" i="12"/>
  <c r="U260" i="12" s="1"/>
  <c r="R262" i="12"/>
  <c r="U262" i="12" s="1"/>
  <c r="R264" i="12"/>
  <c r="U264" i="12" s="1"/>
  <c r="R266" i="12"/>
  <c r="U266" i="12" s="1"/>
  <c r="R268" i="12"/>
  <c r="U268" i="12" s="1"/>
  <c r="R270" i="12"/>
  <c r="U270" i="12" s="1"/>
  <c r="R199" i="12"/>
  <c r="R201" i="12"/>
  <c r="U201" i="12" s="1"/>
  <c r="R203" i="12"/>
  <c r="U203" i="12" s="1"/>
  <c r="R205" i="12"/>
  <c r="U205" i="12" s="1"/>
  <c r="R207" i="12"/>
  <c r="U207" i="12" s="1"/>
  <c r="R209" i="12"/>
  <c r="U209" i="12" s="1"/>
  <c r="R211" i="12"/>
  <c r="U211" i="12" s="1"/>
  <c r="T176" i="12"/>
  <c r="W176" i="12" s="1"/>
  <c r="R176" i="12"/>
  <c r="T177" i="12"/>
  <c r="W177" i="12" s="1"/>
  <c r="T179" i="12"/>
  <c r="W179" i="12" s="1"/>
  <c r="T181" i="12"/>
  <c r="W181" i="12" s="1"/>
  <c r="T183" i="12"/>
  <c r="W183" i="12" s="1"/>
  <c r="T185" i="12"/>
  <c r="W185" i="12" s="1"/>
  <c r="T187" i="12"/>
  <c r="W187" i="12" s="1"/>
  <c r="T189" i="12"/>
  <c r="W189" i="12" s="1"/>
  <c r="T191" i="12"/>
  <c r="W191" i="12" s="1"/>
  <c r="R115" i="12"/>
  <c r="R117" i="12"/>
  <c r="U117" i="12" s="1"/>
  <c r="R119" i="12"/>
  <c r="U119" i="12" s="1"/>
  <c r="R121" i="12"/>
  <c r="U121" i="12" s="1"/>
  <c r="R123" i="12"/>
  <c r="U123" i="12" s="1"/>
  <c r="R125" i="12"/>
  <c r="U125" i="12" s="1"/>
  <c r="R127" i="12"/>
  <c r="U127" i="12" s="1"/>
  <c r="T92" i="12"/>
  <c r="R92" i="12"/>
  <c r="T93" i="12"/>
  <c r="W93" i="12" s="1"/>
  <c r="T95" i="12"/>
  <c r="W95" i="12" s="1"/>
  <c r="T97" i="12"/>
  <c r="W97" i="12" s="1"/>
  <c r="T99" i="12"/>
  <c r="W99" i="12" s="1"/>
  <c r="T101" i="12"/>
  <c r="W101" i="12" s="1"/>
  <c r="T103" i="12"/>
  <c r="W103" i="12" s="1"/>
  <c r="T105" i="12"/>
  <c r="W105" i="12" s="1"/>
  <c r="T107" i="12"/>
  <c r="W107" i="12" s="1"/>
  <c r="R31" i="12"/>
  <c r="U31" i="12" s="1"/>
  <c r="R33" i="12"/>
  <c r="U33" i="12" s="1"/>
  <c r="R35" i="12"/>
  <c r="U35" i="12" s="1"/>
  <c r="R37" i="12"/>
  <c r="U37" i="12" s="1"/>
  <c r="R39" i="12"/>
  <c r="U39" i="12" s="1"/>
  <c r="R41" i="12"/>
  <c r="U41" i="12" s="1"/>
  <c r="R43" i="12"/>
  <c r="U43" i="12" s="1"/>
  <c r="T8" i="12"/>
  <c r="R8" i="12"/>
  <c r="U8" i="12" s="1"/>
  <c r="T9" i="12"/>
  <c r="W9" i="12" s="1"/>
  <c r="T11" i="12"/>
  <c r="W11" i="12" s="1"/>
  <c r="T13" i="12"/>
  <c r="W13" i="12" s="1"/>
  <c r="T15" i="12"/>
  <c r="W15" i="12" s="1"/>
  <c r="T17" i="12"/>
  <c r="W17" i="12" s="1"/>
  <c r="T19" i="12"/>
  <c r="W19" i="12" s="1"/>
  <c r="T21" i="12"/>
  <c r="W21" i="12" s="1"/>
  <c r="T23" i="12"/>
  <c r="W23" i="12" s="1"/>
  <c r="R367" i="13"/>
  <c r="U367" i="13" s="1"/>
  <c r="R369" i="13"/>
  <c r="U369" i="13" s="1"/>
  <c r="R371" i="13"/>
  <c r="U371" i="13" s="1"/>
  <c r="R373" i="13"/>
  <c r="U373" i="13" s="1"/>
  <c r="R375" i="13"/>
  <c r="U375" i="13" s="1"/>
  <c r="R377" i="13"/>
  <c r="U377" i="13" s="1"/>
  <c r="R379" i="13"/>
  <c r="U379" i="13" s="1"/>
  <c r="T344" i="13"/>
  <c r="W344" i="13" s="1"/>
  <c r="R344" i="13"/>
  <c r="T345" i="13"/>
  <c r="W345" i="13" s="1"/>
  <c r="T347" i="13"/>
  <c r="W347" i="13" s="1"/>
  <c r="T349" i="13"/>
  <c r="W349" i="13" s="1"/>
  <c r="T351" i="13"/>
  <c r="W351" i="13" s="1"/>
  <c r="T353" i="13"/>
  <c r="W353" i="13" s="1"/>
  <c r="T355" i="13"/>
  <c r="W355" i="13" s="1"/>
  <c r="T357" i="13"/>
  <c r="W357" i="13" s="1"/>
  <c r="T359" i="13"/>
  <c r="W359" i="13" s="1"/>
  <c r="R283" i="13"/>
  <c r="R285" i="13"/>
  <c r="U285" i="13" s="1"/>
  <c r="R287" i="13"/>
  <c r="U287" i="13" s="1"/>
  <c r="R289" i="13"/>
  <c r="U289" i="13" s="1"/>
  <c r="R291" i="13"/>
  <c r="U291" i="13" s="1"/>
  <c r="R293" i="13"/>
  <c r="U293" i="13" s="1"/>
  <c r="R295" i="13"/>
  <c r="U295" i="13" s="1"/>
  <c r="T260" i="13"/>
  <c r="R260" i="13"/>
  <c r="T261" i="13"/>
  <c r="W261" i="13" s="1"/>
  <c r="T263" i="13"/>
  <c r="W263" i="13" s="1"/>
  <c r="T265" i="13"/>
  <c r="W265" i="13" s="1"/>
  <c r="T267" i="13"/>
  <c r="W267" i="13" s="1"/>
  <c r="T269" i="13"/>
  <c r="W269" i="13" s="1"/>
  <c r="T271" i="13"/>
  <c r="W271" i="13" s="1"/>
  <c r="T273" i="13"/>
  <c r="W273" i="13" s="1"/>
  <c r="T275" i="13"/>
  <c r="W275" i="13" s="1"/>
  <c r="R199" i="13"/>
  <c r="R201" i="13"/>
  <c r="U201" i="13" s="1"/>
  <c r="R203" i="13"/>
  <c r="U203" i="13" s="1"/>
  <c r="R205" i="13"/>
  <c r="U205" i="13" s="1"/>
  <c r="R207" i="13"/>
  <c r="U207" i="13" s="1"/>
  <c r="R209" i="13"/>
  <c r="U209" i="13" s="1"/>
  <c r="R211" i="13"/>
  <c r="U211" i="13" s="1"/>
  <c r="T176" i="13"/>
  <c r="R176" i="13"/>
  <c r="T177" i="13"/>
  <c r="W177" i="13" s="1"/>
  <c r="T179" i="13"/>
  <c r="W179" i="13" s="1"/>
  <c r="T181" i="13"/>
  <c r="W181" i="13" s="1"/>
  <c r="T183" i="13"/>
  <c r="W183" i="13" s="1"/>
  <c r="T185" i="13"/>
  <c r="W185" i="13" s="1"/>
  <c r="T187" i="13"/>
  <c r="W187" i="13" s="1"/>
  <c r="T189" i="13"/>
  <c r="W189" i="13" s="1"/>
  <c r="T191" i="13"/>
  <c r="W191" i="13" s="1"/>
  <c r="R115" i="13"/>
  <c r="U115" i="13" s="1"/>
  <c r="R117" i="13"/>
  <c r="U117" i="13" s="1"/>
  <c r="R119" i="13"/>
  <c r="U119" i="13" s="1"/>
  <c r="R121" i="13"/>
  <c r="U121" i="13" s="1"/>
  <c r="R123" i="13"/>
  <c r="U123" i="13" s="1"/>
  <c r="R125" i="13"/>
  <c r="U125" i="13" s="1"/>
  <c r="R127" i="13"/>
  <c r="U127" i="13" s="1"/>
  <c r="T92" i="13"/>
  <c r="R92" i="13"/>
  <c r="U92" i="13" s="1"/>
  <c r="T93" i="13"/>
  <c r="W93" i="13" s="1"/>
  <c r="T95" i="13"/>
  <c r="W95" i="13" s="1"/>
  <c r="T97" i="13"/>
  <c r="W97" i="13" s="1"/>
  <c r="T99" i="13"/>
  <c r="W99" i="13" s="1"/>
  <c r="T101" i="13"/>
  <c r="W101" i="13" s="1"/>
  <c r="T103" i="13"/>
  <c r="W103" i="13" s="1"/>
  <c r="T105" i="13"/>
  <c r="W105" i="13" s="1"/>
  <c r="T107" i="13"/>
  <c r="W107" i="13" s="1"/>
  <c r="R31" i="13"/>
  <c r="R33" i="13"/>
  <c r="U33" i="13" s="1"/>
  <c r="R35" i="13"/>
  <c r="U35" i="13" s="1"/>
  <c r="R37" i="13"/>
  <c r="U37" i="13" s="1"/>
  <c r="R39" i="13"/>
  <c r="U39" i="13" s="1"/>
  <c r="R41" i="13"/>
  <c r="U41" i="13" s="1"/>
  <c r="R43" i="13"/>
  <c r="U43" i="13" s="1"/>
  <c r="T8" i="13"/>
  <c r="W8" i="13" s="1"/>
  <c r="R8" i="13"/>
  <c r="U8" i="13" s="1"/>
  <c r="T9" i="13"/>
  <c r="W9" i="13" s="1"/>
  <c r="T11" i="13"/>
  <c r="W11" i="13" s="1"/>
  <c r="T13" i="13"/>
  <c r="W13" i="13" s="1"/>
  <c r="T15" i="13"/>
  <c r="W15" i="13" s="1"/>
  <c r="T17" i="13"/>
  <c r="W17" i="13" s="1"/>
  <c r="T19" i="13"/>
  <c r="W19" i="13" s="1"/>
  <c r="T21" i="13"/>
  <c r="W21" i="13" s="1"/>
  <c r="T23" i="13"/>
  <c r="W23" i="13" s="1"/>
  <c r="R367" i="14"/>
  <c r="R369" i="14"/>
  <c r="U369" i="14" s="1"/>
  <c r="R371" i="14"/>
  <c r="U371" i="14" s="1"/>
  <c r="R373" i="14"/>
  <c r="U373" i="14" s="1"/>
  <c r="R375" i="14"/>
  <c r="U375" i="14" s="1"/>
  <c r="R377" i="14"/>
  <c r="U377" i="14" s="1"/>
  <c r="R379" i="14"/>
  <c r="U379" i="14" s="1"/>
  <c r="T344" i="14"/>
  <c r="W344" i="14" s="1"/>
  <c r="R344" i="14"/>
  <c r="T345" i="14"/>
  <c r="W345" i="14" s="1"/>
  <c r="T347" i="14"/>
  <c r="W347" i="14" s="1"/>
  <c r="T349" i="14"/>
  <c r="W349" i="14" s="1"/>
  <c r="T351" i="14"/>
  <c r="W351" i="14" s="1"/>
  <c r="T353" i="14"/>
  <c r="W353" i="14" s="1"/>
  <c r="T355" i="14"/>
  <c r="W355" i="14" s="1"/>
  <c r="T357" i="14"/>
  <c r="W357" i="14" s="1"/>
  <c r="T359" i="14"/>
  <c r="W359" i="14" s="1"/>
  <c r="R283" i="14"/>
  <c r="R285" i="14"/>
  <c r="U285" i="14" s="1"/>
  <c r="R287" i="14"/>
  <c r="U287" i="14" s="1"/>
  <c r="R289" i="14"/>
  <c r="U289" i="14" s="1"/>
  <c r="R291" i="14"/>
  <c r="U291" i="14" s="1"/>
  <c r="R293" i="14"/>
  <c r="U293" i="14" s="1"/>
  <c r="R295" i="14"/>
  <c r="U295" i="14" s="1"/>
  <c r="T260" i="14"/>
  <c r="R260" i="14"/>
  <c r="T261" i="14"/>
  <c r="W261" i="14" s="1"/>
  <c r="T263" i="14"/>
  <c r="W263" i="14" s="1"/>
  <c r="T265" i="14"/>
  <c r="W265" i="14" s="1"/>
  <c r="T267" i="14"/>
  <c r="W267" i="14" s="1"/>
  <c r="T269" i="14"/>
  <c r="W269" i="14" s="1"/>
  <c r="T271" i="14"/>
  <c r="W271" i="14" s="1"/>
  <c r="T273" i="14"/>
  <c r="W273" i="14" s="1"/>
  <c r="T275" i="14"/>
  <c r="W275" i="14" s="1"/>
  <c r="Q91" i="9"/>
  <c r="O70" i="9"/>
  <c r="Q427" i="10"/>
  <c r="O406" i="10"/>
  <c r="Q343" i="10"/>
  <c r="O322" i="10"/>
  <c r="O217" i="10"/>
  <c r="O133" i="10"/>
  <c r="Q49" i="10"/>
  <c r="O28" i="10"/>
  <c r="Q385" i="11"/>
  <c r="O364" i="11"/>
  <c r="Q301" i="11"/>
  <c r="O280" i="11"/>
  <c r="Q133" i="11"/>
  <c r="Q112" i="11"/>
  <c r="Q385" i="12"/>
  <c r="Q364" i="12"/>
  <c r="Q238" i="12"/>
  <c r="O217" i="12"/>
  <c r="Q154" i="12"/>
  <c r="O133" i="12"/>
  <c r="Q70" i="12"/>
  <c r="O49" i="12"/>
  <c r="Q406" i="13"/>
  <c r="O385" i="13"/>
  <c r="Q322" i="13"/>
  <c r="O301" i="13"/>
  <c r="Q238" i="13"/>
  <c r="O217" i="13"/>
  <c r="Q154" i="13"/>
  <c r="O133" i="13"/>
  <c r="Q70" i="13"/>
  <c r="O49" i="13"/>
  <c r="Q406" i="14"/>
  <c r="O385" i="14"/>
  <c r="Q322" i="14"/>
  <c r="O301" i="14"/>
  <c r="T71" i="9"/>
  <c r="R71" i="9"/>
  <c r="U71" i="9" s="1"/>
  <c r="T72" i="9"/>
  <c r="W72" i="9" s="1"/>
  <c r="T74" i="9"/>
  <c r="W74" i="9" s="1"/>
  <c r="T76" i="9"/>
  <c r="W76" i="9" s="1"/>
  <c r="T78" i="9"/>
  <c r="W78" i="9" s="1"/>
  <c r="T80" i="9"/>
  <c r="W80" i="9" s="1"/>
  <c r="R10" i="9"/>
  <c r="U10" i="9" s="1"/>
  <c r="R12" i="9"/>
  <c r="U12" i="9" s="1"/>
  <c r="R14" i="9"/>
  <c r="U14" i="9" s="1"/>
  <c r="R16" i="9"/>
  <c r="U16" i="9" s="1"/>
  <c r="R18" i="9"/>
  <c r="U18" i="9" s="1"/>
  <c r="R20" i="9"/>
  <c r="U20" i="9" s="1"/>
  <c r="R22" i="9"/>
  <c r="U22" i="9" s="1"/>
  <c r="T407" i="10"/>
  <c r="W407" i="10" s="1"/>
  <c r="R407" i="10"/>
  <c r="T408" i="10"/>
  <c r="W408" i="10" s="1"/>
  <c r="T410" i="10"/>
  <c r="W410" i="10" s="1"/>
  <c r="T412" i="10"/>
  <c r="W412" i="10" s="1"/>
  <c r="T414" i="10"/>
  <c r="W414" i="10" s="1"/>
  <c r="T416" i="10"/>
  <c r="W416" i="10" s="1"/>
  <c r="T418" i="10"/>
  <c r="W418" i="10" s="1"/>
  <c r="T420" i="10"/>
  <c r="W420" i="10" s="1"/>
  <c r="T422" i="10"/>
  <c r="W422" i="10" s="1"/>
  <c r="R346" i="10"/>
  <c r="R348" i="10"/>
  <c r="U348" i="10" s="1"/>
  <c r="R350" i="10"/>
  <c r="U350" i="10" s="1"/>
  <c r="R352" i="10"/>
  <c r="U352" i="10" s="1"/>
  <c r="R354" i="10"/>
  <c r="U354" i="10" s="1"/>
  <c r="R356" i="10"/>
  <c r="U356" i="10" s="1"/>
  <c r="R358" i="10"/>
  <c r="U358" i="10" s="1"/>
  <c r="T323" i="10"/>
  <c r="R323" i="10"/>
  <c r="T324" i="10"/>
  <c r="T326" i="10"/>
  <c r="W326" i="10" s="1"/>
  <c r="T328" i="10"/>
  <c r="W328" i="10" s="1"/>
  <c r="T330" i="10"/>
  <c r="W330" i="10" s="1"/>
  <c r="T332" i="10"/>
  <c r="W332" i="10" s="1"/>
  <c r="T334" i="10"/>
  <c r="W334" i="10" s="1"/>
  <c r="T336" i="10"/>
  <c r="W336" i="10" s="1"/>
  <c r="T338" i="10"/>
  <c r="W338" i="10" s="1"/>
  <c r="R281" i="10"/>
  <c r="U281" i="10" s="1"/>
  <c r="R283" i="10"/>
  <c r="U283" i="10" s="1"/>
  <c r="R285" i="10"/>
  <c r="U285" i="10" s="1"/>
  <c r="R287" i="10"/>
  <c r="U287" i="10" s="1"/>
  <c r="R289" i="10"/>
  <c r="U289" i="10" s="1"/>
  <c r="R291" i="10"/>
  <c r="U291" i="10" s="1"/>
  <c r="R293" i="10"/>
  <c r="U293" i="10" s="1"/>
  <c r="R295" i="10"/>
  <c r="U295" i="10" s="1"/>
  <c r="R296" i="10"/>
  <c r="U296" i="10" s="1"/>
  <c r="R218" i="10"/>
  <c r="U218" i="10" s="1"/>
  <c r="R220" i="10"/>
  <c r="U220" i="10" s="1"/>
  <c r="R222" i="10"/>
  <c r="U222" i="10" s="1"/>
  <c r="R224" i="10"/>
  <c r="U224" i="10" s="1"/>
  <c r="R226" i="10"/>
  <c r="U226" i="10" s="1"/>
  <c r="R228" i="10"/>
  <c r="U228" i="10" s="1"/>
  <c r="R230" i="10"/>
  <c r="U230" i="10" s="1"/>
  <c r="R232" i="10"/>
  <c r="U232" i="10" s="1"/>
  <c r="R197" i="10"/>
  <c r="U197" i="10" s="1"/>
  <c r="R199" i="10"/>
  <c r="U199" i="10" s="1"/>
  <c r="R201" i="10"/>
  <c r="U201" i="10" s="1"/>
  <c r="R203" i="10"/>
  <c r="U203" i="10" s="1"/>
  <c r="R205" i="10"/>
  <c r="U205" i="10" s="1"/>
  <c r="R207" i="10"/>
  <c r="U207" i="10" s="1"/>
  <c r="R209" i="10"/>
  <c r="U209" i="10" s="1"/>
  <c r="R211" i="10"/>
  <c r="U211" i="10" s="1"/>
  <c r="R134" i="10"/>
  <c r="R136" i="10"/>
  <c r="U136" i="10" s="1"/>
  <c r="R138" i="10"/>
  <c r="U138" i="10" s="1"/>
  <c r="R140" i="10"/>
  <c r="U140" i="10" s="1"/>
  <c r="R142" i="10"/>
  <c r="U142" i="10" s="1"/>
  <c r="R144" i="10"/>
  <c r="U144" i="10" s="1"/>
  <c r="R146" i="10"/>
  <c r="U146" i="10" s="1"/>
  <c r="R148" i="10"/>
  <c r="U148" i="10" s="1"/>
  <c r="R113" i="10"/>
  <c r="U113" i="10" s="1"/>
  <c r="R115" i="10"/>
  <c r="U115" i="10" s="1"/>
  <c r="R117" i="10"/>
  <c r="U117" i="10" s="1"/>
  <c r="R119" i="10"/>
  <c r="U119" i="10" s="1"/>
  <c r="R121" i="10"/>
  <c r="U121" i="10" s="1"/>
  <c r="R123" i="10"/>
  <c r="U123" i="10" s="1"/>
  <c r="R125" i="10"/>
  <c r="U125" i="10" s="1"/>
  <c r="R127" i="10"/>
  <c r="U127" i="10" s="1"/>
  <c r="T51" i="10"/>
  <c r="W51" i="10" s="1"/>
  <c r="T53" i="10"/>
  <c r="W53" i="10" s="1"/>
  <c r="T55" i="10"/>
  <c r="W55" i="10" s="1"/>
  <c r="T57" i="10"/>
  <c r="W57" i="10" s="1"/>
  <c r="T59" i="10"/>
  <c r="W59" i="10" s="1"/>
  <c r="R60" i="10"/>
  <c r="U60" i="10" s="1"/>
  <c r="T61" i="10"/>
  <c r="W61" i="10" s="1"/>
  <c r="R62" i="10"/>
  <c r="U62" i="10" s="1"/>
  <c r="T63" i="10"/>
  <c r="W63" i="10" s="1"/>
  <c r="R64" i="10"/>
  <c r="U64" i="10" s="1"/>
  <c r="T65" i="10"/>
  <c r="W65" i="10" s="1"/>
  <c r="T29" i="10"/>
  <c r="W29" i="10" s="1"/>
  <c r="R29" i="10"/>
  <c r="T30" i="10"/>
  <c r="W30" i="10" s="1"/>
  <c r="T32" i="10"/>
  <c r="W32" i="10" s="1"/>
  <c r="T34" i="10"/>
  <c r="W34" i="10" s="1"/>
  <c r="T36" i="10"/>
  <c r="W36" i="10" s="1"/>
  <c r="T38" i="10"/>
  <c r="W38" i="10" s="1"/>
  <c r="T40" i="10"/>
  <c r="W40" i="10" s="1"/>
  <c r="T42" i="10"/>
  <c r="W42" i="10" s="1"/>
  <c r="T44" i="10"/>
  <c r="W44" i="10" s="1"/>
  <c r="R388" i="11"/>
  <c r="U388" i="11" s="1"/>
  <c r="R390" i="11"/>
  <c r="U390" i="11" s="1"/>
  <c r="R392" i="11"/>
  <c r="U392" i="11" s="1"/>
  <c r="R394" i="11"/>
  <c r="U394" i="11" s="1"/>
  <c r="R396" i="11"/>
  <c r="U396" i="11" s="1"/>
  <c r="R398" i="11"/>
  <c r="U398" i="11" s="1"/>
  <c r="R400" i="11"/>
  <c r="U400" i="11" s="1"/>
  <c r="T365" i="11"/>
  <c r="R365" i="11"/>
  <c r="U365" i="11" s="1"/>
  <c r="T366" i="11"/>
  <c r="W366" i="11" s="1"/>
  <c r="T368" i="11"/>
  <c r="W368" i="11" s="1"/>
  <c r="T370" i="11"/>
  <c r="W370" i="11" s="1"/>
  <c r="T372" i="11"/>
  <c r="W372" i="11" s="1"/>
  <c r="T374" i="11"/>
  <c r="W374" i="11" s="1"/>
  <c r="T376" i="11"/>
  <c r="W376" i="11" s="1"/>
  <c r="T378" i="11"/>
  <c r="W378" i="11" s="1"/>
  <c r="T380" i="11"/>
  <c r="W380" i="11" s="1"/>
  <c r="R304" i="11"/>
  <c r="R306" i="11"/>
  <c r="U306" i="11" s="1"/>
  <c r="R308" i="11"/>
  <c r="U308" i="11" s="1"/>
  <c r="R310" i="11"/>
  <c r="U310" i="11" s="1"/>
  <c r="R312" i="11"/>
  <c r="U312" i="11" s="1"/>
  <c r="R314" i="11"/>
  <c r="U314" i="11" s="1"/>
  <c r="R316" i="11"/>
  <c r="U316" i="11" s="1"/>
  <c r="T281" i="11"/>
  <c r="R281" i="11"/>
  <c r="T282" i="11"/>
  <c r="T284" i="11"/>
  <c r="W284" i="11" s="1"/>
  <c r="T286" i="11"/>
  <c r="W286" i="11" s="1"/>
  <c r="T288" i="11"/>
  <c r="W288" i="11" s="1"/>
  <c r="T290" i="11"/>
  <c r="W290" i="11" s="1"/>
  <c r="T292" i="11"/>
  <c r="W292" i="11" s="1"/>
  <c r="T294" i="11"/>
  <c r="W294" i="11" s="1"/>
  <c r="T296" i="11"/>
  <c r="W296" i="11" s="1"/>
  <c r="T197" i="11"/>
  <c r="W197" i="11" s="1"/>
  <c r="T199" i="11"/>
  <c r="W199" i="11" s="1"/>
  <c r="T201" i="11"/>
  <c r="W201" i="11" s="1"/>
  <c r="T203" i="11"/>
  <c r="W203" i="11" s="1"/>
  <c r="T205" i="11"/>
  <c r="W205" i="11" s="1"/>
  <c r="T207" i="11"/>
  <c r="W207" i="11" s="1"/>
  <c r="T209" i="11"/>
  <c r="W209" i="11" s="1"/>
  <c r="T211" i="11"/>
  <c r="W211" i="11" s="1"/>
  <c r="R156" i="11"/>
  <c r="R158" i="11"/>
  <c r="U158" i="11" s="1"/>
  <c r="R160" i="11"/>
  <c r="U160" i="11" s="1"/>
  <c r="R162" i="11"/>
  <c r="U162" i="11" s="1"/>
  <c r="R164" i="11"/>
  <c r="U164" i="11" s="1"/>
  <c r="R166" i="11"/>
  <c r="U166" i="11" s="1"/>
  <c r="R168" i="11"/>
  <c r="U168" i="11" s="1"/>
  <c r="R170" i="11"/>
  <c r="U170" i="11" s="1"/>
  <c r="R93" i="11"/>
  <c r="U93" i="11" s="1"/>
  <c r="R95" i="11"/>
  <c r="U95" i="11" s="1"/>
  <c r="R97" i="11"/>
  <c r="U97" i="11" s="1"/>
  <c r="R99" i="11"/>
  <c r="U99" i="11" s="1"/>
  <c r="R101" i="11"/>
  <c r="U101" i="11" s="1"/>
  <c r="R103" i="11"/>
  <c r="U103" i="11" s="1"/>
  <c r="R105" i="11"/>
  <c r="U105" i="11" s="1"/>
  <c r="R107" i="11"/>
  <c r="U107" i="11" s="1"/>
  <c r="T29" i="11"/>
  <c r="W29" i="11" s="1"/>
  <c r="T31" i="11"/>
  <c r="W31" i="11" s="1"/>
  <c r="T33" i="11"/>
  <c r="W33" i="11" s="1"/>
  <c r="T35" i="11"/>
  <c r="W35" i="11" s="1"/>
  <c r="T37" i="11"/>
  <c r="W37" i="11" s="1"/>
  <c r="T39" i="11"/>
  <c r="W39" i="11" s="1"/>
  <c r="T41" i="11"/>
  <c r="W41" i="11" s="1"/>
  <c r="T43" i="11"/>
  <c r="W43" i="11" s="1"/>
  <c r="R408" i="12"/>
  <c r="U408" i="12" s="1"/>
  <c r="R410" i="12"/>
  <c r="U410" i="12" s="1"/>
  <c r="R412" i="12"/>
  <c r="U412" i="12" s="1"/>
  <c r="R414" i="12"/>
  <c r="U414" i="12" s="1"/>
  <c r="R416" i="12"/>
  <c r="U416" i="12" s="1"/>
  <c r="R418" i="12"/>
  <c r="U418" i="12" s="1"/>
  <c r="R420" i="12"/>
  <c r="U420" i="12" s="1"/>
  <c r="R422" i="12"/>
  <c r="U422" i="12" s="1"/>
  <c r="R345" i="12"/>
  <c r="R347" i="12"/>
  <c r="U347" i="12" s="1"/>
  <c r="R349" i="12"/>
  <c r="U349" i="12" s="1"/>
  <c r="R351" i="12"/>
  <c r="U351" i="12" s="1"/>
  <c r="R353" i="12"/>
  <c r="U353" i="12" s="1"/>
  <c r="R355" i="12"/>
  <c r="U355" i="12" s="1"/>
  <c r="R357" i="12"/>
  <c r="U357" i="12" s="1"/>
  <c r="R359" i="12"/>
  <c r="U359" i="12" s="1"/>
  <c r="T282" i="12"/>
  <c r="T284" i="12"/>
  <c r="W284" i="12" s="1"/>
  <c r="T286" i="12"/>
  <c r="W286" i="12" s="1"/>
  <c r="T288" i="12"/>
  <c r="W288" i="12" s="1"/>
  <c r="T290" i="12"/>
  <c r="W290" i="12" s="1"/>
  <c r="T292" i="12"/>
  <c r="W292" i="12" s="1"/>
  <c r="T294" i="12"/>
  <c r="W294" i="12" s="1"/>
  <c r="T296" i="12"/>
  <c r="W296" i="12" s="1"/>
  <c r="R241" i="12"/>
  <c r="R243" i="12"/>
  <c r="U243" i="12" s="1"/>
  <c r="R245" i="12"/>
  <c r="U245" i="12" s="1"/>
  <c r="R247" i="12"/>
  <c r="U247" i="12" s="1"/>
  <c r="R249" i="12"/>
  <c r="U249" i="12" s="1"/>
  <c r="R251" i="12"/>
  <c r="U251" i="12" s="1"/>
  <c r="R253" i="12"/>
  <c r="U253" i="12" s="1"/>
  <c r="T218" i="12"/>
  <c r="R218" i="12"/>
  <c r="T219" i="12"/>
  <c r="W219" i="12" s="1"/>
  <c r="T221" i="12"/>
  <c r="W221" i="12" s="1"/>
  <c r="T223" i="12"/>
  <c r="W223" i="12" s="1"/>
  <c r="T225" i="12"/>
  <c r="W225" i="12" s="1"/>
  <c r="T227" i="12"/>
  <c r="W227" i="12" s="1"/>
  <c r="T229" i="12"/>
  <c r="W229" i="12" s="1"/>
  <c r="T231" i="12"/>
  <c r="W231" i="12" s="1"/>
  <c r="T233" i="12"/>
  <c r="W233" i="12" s="1"/>
  <c r="R157" i="12"/>
  <c r="R159" i="12"/>
  <c r="U159" i="12" s="1"/>
  <c r="R161" i="12"/>
  <c r="U161" i="12" s="1"/>
  <c r="R163" i="12"/>
  <c r="U163" i="12" s="1"/>
  <c r="R165" i="12"/>
  <c r="U165" i="12" s="1"/>
  <c r="R167" i="12"/>
  <c r="U167" i="12" s="1"/>
  <c r="R169" i="12"/>
  <c r="U169" i="12" s="1"/>
  <c r="T134" i="12"/>
  <c r="R134" i="12"/>
  <c r="U134" i="12" s="1"/>
  <c r="T135" i="12"/>
  <c r="W135" i="12" s="1"/>
  <c r="T137" i="12"/>
  <c r="T139" i="12"/>
  <c r="W139" i="12" s="1"/>
  <c r="T141" i="12"/>
  <c r="W141" i="12" s="1"/>
  <c r="T143" i="12"/>
  <c r="W143" i="12" s="1"/>
  <c r="T145" i="12"/>
  <c r="W145" i="12" s="1"/>
  <c r="T147" i="12"/>
  <c r="W147" i="12" s="1"/>
  <c r="T149" i="12"/>
  <c r="W149" i="12" s="1"/>
  <c r="R73" i="12"/>
  <c r="U73" i="12" s="1"/>
  <c r="R75" i="12"/>
  <c r="U75" i="12" s="1"/>
  <c r="R77" i="12"/>
  <c r="U77" i="12" s="1"/>
  <c r="R79" i="12"/>
  <c r="U79" i="12" s="1"/>
  <c r="R81" i="12"/>
  <c r="U81" i="12" s="1"/>
  <c r="R83" i="12"/>
  <c r="U83" i="12" s="1"/>
  <c r="R85" i="12"/>
  <c r="U85" i="12" s="1"/>
  <c r="T50" i="12"/>
  <c r="W50" i="12" s="1"/>
  <c r="R50" i="12"/>
  <c r="U50" i="12" s="1"/>
  <c r="T51" i="12"/>
  <c r="T53" i="12"/>
  <c r="W53" i="12" s="1"/>
  <c r="T55" i="12"/>
  <c r="W55" i="12" s="1"/>
  <c r="T57" i="12"/>
  <c r="W57" i="12" s="1"/>
  <c r="T59" i="12"/>
  <c r="W59" i="12" s="1"/>
  <c r="T61" i="12"/>
  <c r="W61" i="12" s="1"/>
  <c r="T63" i="12"/>
  <c r="W63" i="12" s="1"/>
  <c r="T65" i="12"/>
  <c r="W65" i="12" s="1"/>
  <c r="R409" i="13"/>
  <c r="R411" i="13"/>
  <c r="U411" i="13" s="1"/>
  <c r="R413" i="13"/>
  <c r="U413" i="13" s="1"/>
  <c r="R415" i="13"/>
  <c r="U415" i="13" s="1"/>
  <c r="R417" i="13"/>
  <c r="U417" i="13" s="1"/>
  <c r="R419" i="13"/>
  <c r="U419" i="13" s="1"/>
  <c r="R421" i="13"/>
  <c r="U421" i="13" s="1"/>
  <c r="T386" i="13"/>
  <c r="W386" i="13" s="1"/>
  <c r="R386" i="13"/>
  <c r="T387" i="13"/>
  <c r="W387" i="13" s="1"/>
  <c r="T389" i="13"/>
  <c r="W389" i="13" s="1"/>
  <c r="T391" i="13"/>
  <c r="W391" i="13" s="1"/>
  <c r="T393" i="13"/>
  <c r="T395" i="13"/>
  <c r="W395" i="13" s="1"/>
  <c r="T397" i="13"/>
  <c r="W397" i="13" s="1"/>
  <c r="T399" i="13"/>
  <c r="W399" i="13" s="1"/>
  <c r="T401" i="13"/>
  <c r="W401" i="13" s="1"/>
  <c r="R325" i="13"/>
  <c r="R327" i="13"/>
  <c r="U327" i="13" s="1"/>
  <c r="R329" i="13"/>
  <c r="U329" i="13" s="1"/>
  <c r="R331" i="13"/>
  <c r="U331" i="13" s="1"/>
  <c r="R333" i="13"/>
  <c r="U333" i="13" s="1"/>
  <c r="R335" i="13"/>
  <c r="U335" i="13" s="1"/>
  <c r="R337" i="13"/>
  <c r="U337" i="13" s="1"/>
  <c r="T302" i="13"/>
  <c r="R302" i="13"/>
  <c r="T303" i="13"/>
  <c r="W303" i="13" s="1"/>
  <c r="T305" i="13"/>
  <c r="W305" i="13" s="1"/>
  <c r="T307" i="13"/>
  <c r="W307" i="13" s="1"/>
  <c r="T309" i="13"/>
  <c r="W309" i="13" s="1"/>
  <c r="T311" i="13"/>
  <c r="W311" i="13" s="1"/>
  <c r="T313" i="13"/>
  <c r="W313" i="13" s="1"/>
  <c r="T315" i="13"/>
  <c r="W315" i="13" s="1"/>
  <c r="T317" i="13"/>
  <c r="W317" i="13" s="1"/>
  <c r="R241" i="13"/>
  <c r="U241" i="13" s="1"/>
  <c r="R243" i="13"/>
  <c r="U243" i="13" s="1"/>
  <c r="R245" i="13"/>
  <c r="U245" i="13" s="1"/>
  <c r="R247" i="13"/>
  <c r="U247" i="13" s="1"/>
  <c r="R249" i="13"/>
  <c r="U249" i="13" s="1"/>
  <c r="R251" i="13"/>
  <c r="U251" i="13" s="1"/>
  <c r="R253" i="13"/>
  <c r="U253" i="13" s="1"/>
  <c r="T218" i="13"/>
  <c r="R218" i="13"/>
  <c r="T219" i="13"/>
  <c r="W219" i="13" s="1"/>
  <c r="T221" i="13"/>
  <c r="W221" i="13" s="1"/>
  <c r="T223" i="13"/>
  <c r="W223" i="13" s="1"/>
  <c r="T225" i="13"/>
  <c r="W225" i="13" s="1"/>
  <c r="T227" i="13"/>
  <c r="W227" i="13" s="1"/>
  <c r="T229" i="13"/>
  <c r="W229" i="13" s="1"/>
  <c r="T231" i="13"/>
  <c r="W231" i="13" s="1"/>
  <c r="T233" i="13"/>
  <c r="W233" i="13" s="1"/>
  <c r="R157" i="13"/>
  <c r="U157" i="13" s="1"/>
  <c r="R159" i="13"/>
  <c r="U159" i="13" s="1"/>
  <c r="R161" i="13"/>
  <c r="U161" i="13" s="1"/>
  <c r="R163" i="13"/>
  <c r="U163" i="13" s="1"/>
  <c r="R165" i="13"/>
  <c r="U165" i="13" s="1"/>
  <c r="R167" i="13"/>
  <c r="U167" i="13" s="1"/>
  <c r="R169" i="13"/>
  <c r="U169" i="13" s="1"/>
  <c r="T134" i="13"/>
  <c r="R134" i="13"/>
  <c r="U134" i="13" s="1"/>
  <c r="T135" i="13"/>
  <c r="W135" i="13" s="1"/>
  <c r="T137" i="13"/>
  <c r="W137" i="13" s="1"/>
  <c r="T139" i="13"/>
  <c r="W139" i="13" s="1"/>
  <c r="T141" i="13"/>
  <c r="W141" i="13" s="1"/>
  <c r="T143" i="13"/>
  <c r="W143" i="13" s="1"/>
  <c r="T145" i="13"/>
  <c r="W145" i="13" s="1"/>
  <c r="T147" i="13"/>
  <c r="W147" i="13" s="1"/>
  <c r="T149" i="13"/>
  <c r="W149" i="13" s="1"/>
  <c r="R73" i="13"/>
  <c r="R75" i="13"/>
  <c r="U75" i="13" s="1"/>
  <c r="R77" i="13"/>
  <c r="U77" i="13" s="1"/>
  <c r="R79" i="13"/>
  <c r="U79" i="13" s="1"/>
  <c r="R81" i="13"/>
  <c r="U81" i="13" s="1"/>
  <c r="R83" i="13"/>
  <c r="U83" i="13" s="1"/>
  <c r="R85" i="13"/>
  <c r="U85" i="13" s="1"/>
  <c r="T50" i="13"/>
  <c r="W50" i="13" s="1"/>
  <c r="R50" i="13"/>
  <c r="U50" i="13" s="1"/>
  <c r="T51" i="13"/>
  <c r="W51" i="13" s="1"/>
  <c r="T53" i="13"/>
  <c r="W53" i="13" s="1"/>
  <c r="T55" i="13"/>
  <c r="W55" i="13" s="1"/>
  <c r="T57" i="13"/>
  <c r="W57" i="13" s="1"/>
  <c r="T59" i="13"/>
  <c r="W59" i="13" s="1"/>
  <c r="T61" i="13"/>
  <c r="W61" i="13" s="1"/>
  <c r="T63" i="13"/>
  <c r="W63" i="13" s="1"/>
  <c r="T65" i="13"/>
  <c r="W65" i="13" s="1"/>
  <c r="R409" i="14"/>
  <c r="R411" i="14"/>
  <c r="U411" i="14" s="1"/>
  <c r="R413" i="14"/>
  <c r="U413" i="14" s="1"/>
  <c r="R415" i="14"/>
  <c r="U415" i="14" s="1"/>
  <c r="R417" i="14"/>
  <c r="U417" i="14" s="1"/>
  <c r="R419" i="14"/>
  <c r="U419" i="14" s="1"/>
  <c r="R421" i="14"/>
  <c r="U421" i="14" s="1"/>
  <c r="T386" i="14"/>
  <c r="R386" i="14"/>
  <c r="T387" i="14"/>
  <c r="W387" i="14" s="1"/>
  <c r="T389" i="14"/>
  <c r="W389" i="14" s="1"/>
  <c r="T391" i="14"/>
  <c r="W391" i="14" s="1"/>
  <c r="T393" i="14"/>
  <c r="W393" i="14" s="1"/>
  <c r="T395" i="14"/>
  <c r="W395" i="14" s="1"/>
  <c r="T397" i="14"/>
  <c r="W397" i="14" s="1"/>
  <c r="T399" i="14"/>
  <c r="W399" i="14" s="1"/>
  <c r="T401" i="14"/>
  <c r="W401" i="14" s="1"/>
  <c r="R325" i="14"/>
  <c r="R327" i="14"/>
  <c r="U327" i="14" s="1"/>
  <c r="R329" i="14"/>
  <c r="U329" i="14" s="1"/>
  <c r="R331" i="14"/>
  <c r="U331" i="14" s="1"/>
  <c r="R333" i="14"/>
  <c r="U333" i="14" s="1"/>
  <c r="R335" i="14"/>
  <c r="U335" i="14" s="1"/>
  <c r="R337" i="14"/>
  <c r="U337" i="14" s="1"/>
  <c r="T302" i="14"/>
  <c r="R302" i="14"/>
  <c r="T303" i="14"/>
  <c r="W303" i="14" s="1"/>
  <c r="T305" i="14"/>
  <c r="W305" i="14" s="1"/>
  <c r="T307" i="14"/>
  <c r="W307" i="14" s="1"/>
  <c r="T309" i="14"/>
  <c r="W309" i="14" s="1"/>
  <c r="T311" i="14"/>
  <c r="W311" i="14" s="1"/>
  <c r="T313" i="14"/>
  <c r="W313" i="14" s="1"/>
  <c r="T315" i="14"/>
  <c r="W315" i="14" s="1"/>
  <c r="T317" i="14"/>
  <c r="W317" i="14" s="1"/>
  <c r="R85" i="9"/>
  <c r="U85" i="9" s="1"/>
  <c r="R83" i="9"/>
  <c r="U83" i="9" s="1"/>
  <c r="R81" i="9"/>
  <c r="U81" i="9" s="1"/>
  <c r="R79" i="9"/>
  <c r="U79" i="9" s="1"/>
  <c r="R77" i="9"/>
  <c r="U77" i="9" s="1"/>
  <c r="R75" i="9"/>
  <c r="U75" i="9" s="1"/>
  <c r="O28" i="9"/>
  <c r="Q28" i="9"/>
  <c r="R421" i="10"/>
  <c r="U421" i="10" s="1"/>
  <c r="R419" i="10"/>
  <c r="U419" i="10" s="1"/>
  <c r="R417" i="10"/>
  <c r="U417" i="10" s="1"/>
  <c r="R415" i="10"/>
  <c r="U415" i="10" s="1"/>
  <c r="R413" i="10"/>
  <c r="U413" i="10" s="1"/>
  <c r="R411" i="10"/>
  <c r="U411" i="10" s="1"/>
  <c r="O364" i="10"/>
  <c r="Q364" i="10"/>
  <c r="R337" i="10"/>
  <c r="U337" i="10" s="1"/>
  <c r="R335" i="10"/>
  <c r="U335" i="10" s="1"/>
  <c r="R333" i="10"/>
  <c r="U333" i="10" s="1"/>
  <c r="R331" i="10"/>
  <c r="U331" i="10" s="1"/>
  <c r="R329" i="10"/>
  <c r="U329" i="10" s="1"/>
  <c r="R327" i="10"/>
  <c r="U327" i="10" s="1"/>
  <c r="U270" i="10"/>
  <c r="U268" i="10"/>
  <c r="U262" i="10"/>
  <c r="U260" i="10"/>
  <c r="T254" i="10"/>
  <c r="W254" i="10" s="1"/>
  <c r="T252" i="10"/>
  <c r="W252" i="10" s="1"/>
  <c r="T250" i="10"/>
  <c r="W250" i="10" s="1"/>
  <c r="T248" i="10"/>
  <c r="W248" i="10" s="1"/>
  <c r="T246" i="10"/>
  <c r="W246" i="10" s="1"/>
  <c r="T244" i="10"/>
  <c r="W244" i="10" s="1"/>
  <c r="T242" i="10"/>
  <c r="W242" i="10" s="1"/>
  <c r="T240" i="10"/>
  <c r="O259" i="10"/>
  <c r="U186" i="10"/>
  <c r="U178" i="10"/>
  <c r="T170" i="10"/>
  <c r="W170" i="10" s="1"/>
  <c r="T168" i="10"/>
  <c r="W168" i="10" s="1"/>
  <c r="T166" i="10"/>
  <c r="W166" i="10" s="1"/>
  <c r="T164" i="10"/>
  <c r="W164" i="10" s="1"/>
  <c r="T162" i="10"/>
  <c r="W162" i="10" s="1"/>
  <c r="T160" i="10"/>
  <c r="W160" i="10" s="1"/>
  <c r="T158" i="10"/>
  <c r="W158" i="10" s="1"/>
  <c r="T156" i="10"/>
  <c r="W156" i="10" s="1"/>
  <c r="O175" i="10"/>
  <c r="U102" i="10"/>
  <c r="T86" i="10"/>
  <c r="W86" i="10" s="1"/>
  <c r="T84" i="10"/>
  <c r="W84" i="10" s="1"/>
  <c r="T82" i="10"/>
  <c r="W82" i="10" s="1"/>
  <c r="T80" i="10"/>
  <c r="W80" i="10" s="1"/>
  <c r="T78" i="10"/>
  <c r="W78" i="10" s="1"/>
  <c r="T76" i="10"/>
  <c r="W76" i="10" s="1"/>
  <c r="T74" i="10"/>
  <c r="W74" i="10" s="1"/>
  <c r="T72" i="10"/>
  <c r="O91" i="10"/>
  <c r="R43" i="10"/>
  <c r="U43" i="10" s="1"/>
  <c r="R41" i="10"/>
  <c r="U41" i="10" s="1"/>
  <c r="R39" i="10"/>
  <c r="U39" i="10" s="1"/>
  <c r="R37" i="10"/>
  <c r="U37" i="10" s="1"/>
  <c r="R35" i="10"/>
  <c r="U35" i="10" s="1"/>
  <c r="R33" i="10"/>
  <c r="U33" i="10" s="1"/>
  <c r="O406" i="11"/>
  <c r="Q406" i="11"/>
  <c r="R379" i="11"/>
  <c r="U379" i="11" s="1"/>
  <c r="R377" i="11"/>
  <c r="U377" i="11" s="1"/>
  <c r="R375" i="11"/>
  <c r="U375" i="11" s="1"/>
  <c r="R373" i="11"/>
  <c r="U373" i="11" s="1"/>
  <c r="R371" i="11"/>
  <c r="U371" i="11" s="1"/>
  <c r="R369" i="11"/>
  <c r="U369" i="11" s="1"/>
  <c r="O322" i="11"/>
  <c r="Q322" i="11"/>
  <c r="R295" i="11"/>
  <c r="U295" i="11" s="1"/>
  <c r="R293" i="11"/>
  <c r="U293" i="11" s="1"/>
  <c r="R291" i="11"/>
  <c r="U291" i="11" s="1"/>
  <c r="R289" i="11"/>
  <c r="U289" i="11" s="1"/>
  <c r="R287" i="11"/>
  <c r="U287" i="11" s="1"/>
  <c r="R285" i="11"/>
  <c r="U285" i="11" s="1"/>
  <c r="Q217" i="11"/>
  <c r="U191" i="11"/>
  <c r="Q196" i="11"/>
  <c r="R128" i="11"/>
  <c r="U128" i="11" s="1"/>
  <c r="R126" i="11"/>
  <c r="U126" i="11" s="1"/>
  <c r="R124" i="11"/>
  <c r="U124" i="11" s="1"/>
  <c r="R122" i="11"/>
  <c r="U122" i="11" s="1"/>
  <c r="R120" i="11"/>
  <c r="U120" i="11" s="1"/>
  <c r="R118" i="11"/>
  <c r="U118" i="11" s="1"/>
  <c r="R116" i="11"/>
  <c r="U116" i="11" s="1"/>
  <c r="R114" i="11"/>
  <c r="Q49" i="11"/>
  <c r="Q28" i="11"/>
  <c r="R380" i="12"/>
  <c r="U380" i="12" s="1"/>
  <c r="R378" i="12"/>
  <c r="U378" i="12" s="1"/>
  <c r="R376" i="12"/>
  <c r="U376" i="12" s="1"/>
  <c r="R374" i="12"/>
  <c r="U374" i="12" s="1"/>
  <c r="R372" i="12"/>
  <c r="U372" i="12" s="1"/>
  <c r="R370" i="12"/>
  <c r="U370" i="12" s="1"/>
  <c r="R368" i="12"/>
  <c r="U368" i="12" s="1"/>
  <c r="R366" i="12"/>
  <c r="T316" i="12"/>
  <c r="W316" i="12" s="1"/>
  <c r="R315" i="12"/>
  <c r="U315" i="12" s="1"/>
  <c r="T312" i="12"/>
  <c r="W312" i="12" s="1"/>
  <c r="R311" i="12"/>
  <c r="U311" i="12" s="1"/>
  <c r="T308" i="12"/>
  <c r="W308" i="12" s="1"/>
  <c r="R306" i="12"/>
  <c r="U306" i="12" s="1"/>
  <c r="T303" i="12"/>
  <c r="Q322" i="12"/>
  <c r="T275" i="12"/>
  <c r="W275" i="12" s="1"/>
  <c r="R274" i="12"/>
  <c r="U274" i="12" s="1"/>
  <c r="T271" i="12"/>
  <c r="W271" i="12" s="1"/>
  <c r="T269" i="12"/>
  <c r="W269" i="12" s="1"/>
  <c r="T267" i="12"/>
  <c r="W267" i="12" s="1"/>
  <c r="T265" i="12"/>
  <c r="W265" i="12" s="1"/>
  <c r="T263" i="12"/>
  <c r="W263" i="12" s="1"/>
  <c r="T261" i="12"/>
  <c r="W261" i="12" s="1"/>
  <c r="O280" i="12"/>
  <c r="O259" i="12"/>
  <c r="Q259" i="12"/>
  <c r="R232" i="12"/>
  <c r="U232" i="12" s="1"/>
  <c r="R230" i="12"/>
  <c r="U230" i="12" s="1"/>
  <c r="R228" i="12"/>
  <c r="U228" i="12" s="1"/>
  <c r="R226" i="12"/>
  <c r="U226" i="12" s="1"/>
  <c r="R224" i="12"/>
  <c r="U224" i="12" s="1"/>
  <c r="R222" i="12"/>
  <c r="U222" i="12" s="1"/>
  <c r="O175" i="12"/>
  <c r="Q175" i="12"/>
  <c r="R148" i="12"/>
  <c r="U148" i="12" s="1"/>
  <c r="R146" i="12"/>
  <c r="U146" i="12" s="1"/>
  <c r="R144" i="12"/>
  <c r="U144" i="12" s="1"/>
  <c r="R142" i="12"/>
  <c r="U142" i="12" s="1"/>
  <c r="R140" i="12"/>
  <c r="U140" i="12" s="1"/>
  <c r="R138" i="12"/>
  <c r="U138" i="12" s="1"/>
  <c r="O91" i="12"/>
  <c r="Q91" i="12"/>
  <c r="R64" i="12"/>
  <c r="U64" i="12" s="1"/>
  <c r="R62" i="12"/>
  <c r="U62" i="12" s="1"/>
  <c r="R60" i="12"/>
  <c r="U60" i="12" s="1"/>
  <c r="R58" i="12"/>
  <c r="U58" i="12" s="1"/>
  <c r="R56" i="12"/>
  <c r="U56" i="12" s="1"/>
  <c r="R54" i="12"/>
  <c r="U54" i="12" s="1"/>
  <c r="O427" i="13"/>
  <c r="Q427" i="13"/>
  <c r="R400" i="13"/>
  <c r="U400" i="13" s="1"/>
  <c r="R398" i="13"/>
  <c r="U398" i="13" s="1"/>
  <c r="R396" i="13"/>
  <c r="U396" i="13" s="1"/>
  <c r="R394" i="13"/>
  <c r="U394" i="13" s="1"/>
  <c r="R392" i="13"/>
  <c r="U392" i="13" s="1"/>
  <c r="R390" i="13"/>
  <c r="U390" i="13" s="1"/>
  <c r="O343" i="13"/>
  <c r="Q343" i="13"/>
  <c r="R316" i="13"/>
  <c r="U316" i="13" s="1"/>
  <c r="R314" i="13"/>
  <c r="U314" i="13" s="1"/>
  <c r="R312" i="13"/>
  <c r="U312" i="13" s="1"/>
  <c r="R310" i="13"/>
  <c r="U310" i="13" s="1"/>
  <c r="R308" i="13"/>
  <c r="U308" i="13" s="1"/>
  <c r="R306" i="13"/>
  <c r="U306" i="13" s="1"/>
  <c r="O259" i="13"/>
  <c r="Q259" i="13"/>
  <c r="R232" i="13"/>
  <c r="U232" i="13" s="1"/>
  <c r="R230" i="13"/>
  <c r="U230" i="13" s="1"/>
  <c r="R228" i="13"/>
  <c r="U228" i="13" s="1"/>
  <c r="R226" i="13"/>
  <c r="U226" i="13" s="1"/>
  <c r="R224" i="13"/>
  <c r="U224" i="13" s="1"/>
  <c r="R222" i="13"/>
  <c r="U222" i="13" s="1"/>
  <c r="O175" i="13"/>
  <c r="Q175" i="13"/>
  <c r="R148" i="13"/>
  <c r="U148" i="13" s="1"/>
  <c r="R146" i="13"/>
  <c r="U146" i="13" s="1"/>
  <c r="R144" i="13"/>
  <c r="U144" i="13" s="1"/>
  <c r="R142" i="13"/>
  <c r="U142" i="13" s="1"/>
  <c r="R140" i="13"/>
  <c r="U140" i="13" s="1"/>
  <c r="R138" i="13"/>
  <c r="U138" i="13" s="1"/>
  <c r="O91" i="13"/>
  <c r="Q91" i="13"/>
  <c r="R64" i="13"/>
  <c r="U64" i="13" s="1"/>
  <c r="R62" i="13"/>
  <c r="U62" i="13" s="1"/>
  <c r="R60" i="13"/>
  <c r="U60" i="13" s="1"/>
  <c r="R58" i="13"/>
  <c r="U58" i="13" s="1"/>
  <c r="R56" i="13"/>
  <c r="U56" i="13" s="1"/>
  <c r="R54" i="13"/>
  <c r="U54" i="13" s="1"/>
  <c r="O427" i="14"/>
  <c r="Q427" i="14"/>
  <c r="R400" i="14"/>
  <c r="U400" i="14" s="1"/>
  <c r="R398" i="14"/>
  <c r="U398" i="14" s="1"/>
  <c r="R396" i="14"/>
  <c r="U396" i="14" s="1"/>
  <c r="R394" i="14"/>
  <c r="U394" i="14" s="1"/>
  <c r="R392" i="14"/>
  <c r="U392" i="14" s="1"/>
  <c r="R390" i="14"/>
  <c r="U390" i="14" s="1"/>
  <c r="O343" i="14"/>
  <c r="Q343" i="14"/>
  <c r="R316" i="14"/>
  <c r="U316" i="14" s="1"/>
  <c r="R314" i="14"/>
  <c r="U314" i="14" s="1"/>
  <c r="R312" i="14"/>
  <c r="U312" i="14" s="1"/>
  <c r="R310" i="14"/>
  <c r="U310" i="14" s="1"/>
  <c r="R308" i="14"/>
  <c r="U308" i="14" s="1"/>
  <c r="R306" i="14"/>
  <c r="U306" i="14" s="1"/>
  <c r="O259" i="14"/>
  <c r="R50" i="16"/>
  <c r="R52" i="16"/>
  <c r="U52" i="16" s="1"/>
  <c r="R8" i="16"/>
  <c r="R10" i="16"/>
  <c r="U10" i="16" s="1"/>
  <c r="R12" i="16"/>
  <c r="U12" i="16" s="1"/>
  <c r="R14" i="16"/>
  <c r="U14" i="16" s="1"/>
  <c r="R16" i="16"/>
  <c r="U16" i="16" s="1"/>
  <c r="R18" i="16"/>
  <c r="U18" i="16" s="1"/>
  <c r="R20" i="16"/>
  <c r="U20" i="16" s="1"/>
  <c r="R22" i="16"/>
  <c r="U22" i="16" s="1"/>
  <c r="R386" i="17"/>
  <c r="U386" i="17" s="1"/>
  <c r="R388" i="17"/>
  <c r="U388" i="17" s="1"/>
  <c r="R390" i="17"/>
  <c r="U390" i="17" s="1"/>
  <c r="R392" i="17"/>
  <c r="U392" i="17" s="1"/>
  <c r="R394" i="17"/>
  <c r="U394" i="17" s="1"/>
  <c r="R396" i="17"/>
  <c r="U396" i="17" s="1"/>
  <c r="R398" i="17"/>
  <c r="U398" i="17" s="1"/>
  <c r="R400" i="17"/>
  <c r="U400" i="17" s="1"/>
  <c r="R344" i="17"/>
  <c r="R346" i="17"/>
  <c r="U346" i="17" s="1"/>
  <c r="R348" i="17"/>
  <c r="U348" i="17" s="1"/>
  <c r="R350" i="17"/>
  <c r="U350" i="17" s="1"/>
  <c r="R352" i="17"/>
  <c r="U352" i="17" s="1"/>
  <c r="R354" i="17"/>
  <c r="U354" i="17" s="1"/>
  <c r="R356" i="17"/>
  <c r="U356" i="17" s="1"/>
  <c r="R358" i="17"/>
  <c r="U358" i="17" s="1"/>
  <c r="R302" i="17"/>
  <c r="U302" i="17" s="1"/>
  <c r="R304" i="17"/>
  <c r="U304" i="17" s="1"/>
  <c r="R306" i="17"/>
  <c r="U306" i="17" s="1"/>
  <c r="R308" i="17"/>
  <c r="U308" i="17" s="1"/>
  <c r="R310" i="17"/>
  <c r="U310" i="17" s="1"/>
  <c r="R312" i="17"/>
  <c r="U312" i="17" s="1"/>
  <c r="R314" i="17"/>
  <c r="U314" i="17" s="1"/>
  <c r="R316" i="17"/>
  <c r="U316" i="17" s="1"/>
  <c r="R260" i="17"/>
  <c r="U260" i="17" s="1"/>
  <c r="R262" i="17"/>
  <c r="U262" i="17" s="1"/>
  <c r="R264" i="17"/>
  <c r="U264" i="17" s="1"/>
  <c r="R266" i="17"/>
  <c r="U266" i="17" s="1"/>
  <c r="R268" i="17"/>
  <c r="U268" i="17" s="1"/>
  <c r="R270" i="17"/>
  <c r="U270" i="17" s="1"/>
  <c r="R272" i="17"/>
  <c r="U272" i="17" s="1"/>
  <c r="R274" i="17"/>
  <c r="U274" i="17" s="1"/>
  <c r="R218" i="17"/>
  <c r="U218" i="17" s="1"/>
  <c r="R220" i="17"/>
  <c r="U220" i="17" s="1"/>
  <c r="R222" i="17"/>
  <c r="U222" i="17" s="1"/>
  <c r="R224" i="17"/>
  <c r="U224" i="17" s="1"/>
  <c r="R226" i="17"/>
  <c r="U226" i="17" s="1"/>
  <c r="R228" i="17"/>
  <c r="U228" i="17" s="1"/>
  <c r="R230" i="17"/>
  <c r="U230" i="17" s="1"/>
  <c r="R232" i="17"/>
  <c r="U232" i="17" s="1"/>
  <c r="R176" i="17"/>
  <c r="U176" i="17" s="1"/>
  <c r="R178" i="17"/>
  <c r="U178" i="17" s="1"/>
  <c r="R180" i="17"/>
  <c r="U180" i="17" s="1"/>
  <c r="R182" i="17"/>
  <c r="U182" i="17" s="1"/>
  <c r="R184" i="17"/>
  <c r="U184" i="17" s="1"/>
  <c r="R186" i="17"/>
  <c r="U186" i="17" s="1"/>
  <c r="R188" i="17"/>
  <c r="U188" i="17" s="1"/>
  <c r="R190" i="17"/>
  <c r="U190" i="17" s="1"/>
  <c r="R134" i="17"/>
  <c r="U134" i="17" s="1"/>
  <c r="U154" i="17" s="1"/>
  <c r="R136" i="17"/>
  <c r="U136" i="17" s="1"/>
  <c r="R138" i="17"/>
  <c r="U138" i="17" s="1"/>
  <c r="R140" i="17"/>
  <c r="U140" i="17" s="1"/>
  <c r="R142" i="17"/>
  <c r="U142" i="17" s="1"/>
  <c r="R144" i="17"/>
  <c r="U144" i="17" s="1"/>
  <c r="R146" i="17"/>
  <c r="U146" i="17" s="1"/>
  <c r="R148" i="17"/>
  <c r="U148" i="17" s="1"/>
  <c r="R92" i="17"/>
  <c r="U92" i="17" s="1"/>
  <c r="R94" i="17"/>
  <c r="U94" i="17" s="1"/>
  <c r="R96" i="17"/>
  <c r="U96" i="17" s="1"/>
  <c r="R98" i="17"/>
  <c r="U98" i="17" s="1"/>
  <c r="R100" i="17"/>
  <c r="U100" i="17" s="1"/>
  <c r="R102" i="17"/>
  <c r="U102" i="17" s="1"/>
  <c r="R104" i="17"/>
  <c r="U104" i="17" s="1"/>
  <c r="R106" i="17"/>
  <c r="U106" i="17" s="1"/>
  <c r="R253" i="14"/>
  <c r="U253" i="14" s="1"/>
  <c r="R251" i="14"/>
  <c r="U251" i="14" s="1"/>
  <c r="R249" i="14"/>
  <c r="U249" i="14" s="1"/>
  <c r="R247" i="14"/>
  <c r="U247" i="14" s="1"/>
  <c r="R245" i="14"/>
  <c r="U245" i="14" s="1"/>
  <c r="R243" i="14"/>
  <c r="T233" i="14"/>
  <c r="W233" i="14" s="1"/>
  <c r="T231" i="14"/>
  <c r="W231" i="14" s="1"/>
  <c r="T229" i="14"/>
  <c r="W229" i="14" s="1"/>
  <c r="T227" i="14"/>
  <c r="W227" i="14" s="1"/>
  <c r="T225" i="14"/>
  <c r="W225" i="14" s="1"/>
  <c r="T223" i="14"/>
  <c r="W223" i="14" s="1"/>
  <c r="T221" i="14"/>
  <c r="W221" i="14" s="1"/>
  <c r="T219" i="14"/>
  <c r="W219" i="14" s="1"/>
  <c r="R218" i="14"/>
  <c r="U218" i="14" s="1"/>
  <c r="R211" i="14"/>
  <c r="U211" i="14" s="1"/>
  <c r="R209" i="14"/>
  <c r="U209" i="14" s="1"/>
  <c r="R207" i="14"/>
  <c r="U207" i="14" s="1"/>
  <c r="R205" i="14"/>
  <c r="U205" i="14" s="1"/>
  <c r="R203" i="14"/>
  <c r="U203" i="14" s="1"/>
  <c r="R201" i="14"/>
  <c r="U201" i="14" s="1"/>
  <c r="T191" i="14"/>
  <c r="W191" i="14" s="1"/>
  <c r="T189" i="14"/>
  <c r="W189" i="14" s="1"/>
  <c r="T187" i="14"/>
  <c r="W187" i="14" s="1"/>
  <c r="T185" i="14"/>
  <c r="W185" i="14" s="1"/>
  <c r="T183" i="14"/>
  <c r="W183" i="14" s="1"/>
  <c r="T181" i="14"/>
  <c r="W181" i="14" s="1"/>
  <c r="T179" i="14"/>
  <c r="W179" i="14" s="1"/>
  <c r="T177" i="14"/>
  <c r="W177" i="14" s="1"/>
  <c r="R176" i="14"/>
  <c r="U176" i="14" s="1"/>
  <c r="R169" i="14"/>
  <c r="U169" i="14" s="1"/>
  <c r="R167" i="14"/>
  <c r="U167" i="14" s="1"/>
  <c r="R165" i="14"/>
  <c r="U165" i="14" s="1"/>
  <c r="R163" i="14"/>
  <c r="U163" i="14" s="1"/>
  <c r="R161" i="14"/>
  <c r="U161" i="14" s="1"/>
  <c r="R159" i="14"/>
  <c r="T149" i="14"/>
  <c r="W149" i="14" s="1"/>
  <c r="T147" i="14"/>
  <c r="W147" i="14" s="1"/>
  <c r="T145" i="14"/>
  <c r="W145" i="14" s="1"/>
  <c r="T143" i="14"/>
  <c r="W143" i="14" s="1"/>
  <c r="T141" i="14"/>
  <c r="W141" i="14" s="1"/>
  <c r="T139" i="14"/>
  <c r="W139" i="14" s="1"/>
  <c r="T137" i="14"/>
  <c r="W137" i="14" s="1"/>
  <c r="T135" i="14"/>
  <c r="W135" i="14" s="1"/>
  <c r="R134" i="14"/>
  <c r="R29" i="16"/>
  <c r="U29" i="16" s="1"/>
  <c r="R31" i="16"/>
  <c r="U31" i="16" s="1"/>
  <c r="R33" i="16"/>
  <c r="U33" i="16" s="1"/>
  <c r="R35" i="16"/>
  <c r="U35" i="16" s="1"/>
  <c r="R37" i="16"/>
  <c r="U37" i="16" s="1"/>
  <c r="R39" i="16"/>
  <c r="U39" i="16" s="1"/>
  <c r="R41" i="16"/>
  <c r="U41" i="16" s="1"/>
  <c r="R43" i="16"/>
  <c r="U43" i="16" s="1"/>
  <c r="R407" i="17"/>
  <c r="U407" i="17" s="1"/>
  <c r="R409" i="17"/>
  <c r="U409" i="17" s="1"/>
  <c r="R411" i="17"/>
  <c r="U411" i="17" s="1"/>
  <c r="R413" i="17"/>
  <c r="U413" i="17" s="1"/>
  <c r="R415" i="17"/>
  <c r="U415" i="17" s="1"/>
  <c r="R417" i="17"/>
  <c r="U417" i="17" s="1"/>
  <c r="R419" i="17"/>
  <c r="U419" i="17" s="1"/>
  <c r="R421" i="17"/>
  <c r="U421" i="17" s="1"/>
  <c r="R365" i="17"/>
  <c r="U365" i="17" s="1"/>
  <c r="R367" i="17"/>
  <c r="U367" i="17" s="1"/>
  <c r="R369" i="17"/>
  <c r="U369" i="17" s="1"/>
  <c r="R371" i="17"/>
  <c r="U371" i="17" s="1"/>
  <c r="R373" i="17"/>
  <c r="U373" i="17" s="1"/>
  <c r="R375" i="17"/>
  <c r="U375" i="17" s="1"/>
  <c r="R377" i="17"/>
  <c r="U377" i="17" s="1"/>
  <c r="R379" i="17"/>
  <c r="U379" i="17" s="1"/>
  <c r="R323" i="17"/>
  <c r="U323" i="17" s="1"/>
  <c r="R325" i="17"/>
  <c r="U325" i="17" s="1"/>
  <c r="R327" i="17"/>
  <c r="U327" i="17" s="1"/>
  <c r="R329" i="17"/>
  <c r="U329" i="17" s="1"/>
  <c r="R331" i="17"/>
  <c r="U331" i="17" s="1"/>
  <c r="R333" i="17"/>
  <c r="U333" i="17" s="1"/>
  <c r="R335" i="17"/>
  <c r="U335" i="17" s="1"/>
  <c r="R337" i="17"/>
  <c r="U337" i="17" s="1"/>
  <c r="R281" i="17"/>
  <c r="R283" i="17"/>
  <c r="U283" i="17" s="1"/>
  <c r="R285" i="17"/>
  <c r="U285" i="17" s="1"/>
  <c r="R287" i="17"/>
  <c r="U287" i="17" s="1"/>
  <c r="R289" i="17"/>
  <c r="U289" i="17" s="1"/>
  <c r="R291" i="17"/>
  <c r="U291" i="17" s="1"/>
  <c r="R293" i="17"/>
  <c r="U293" i="17" s="1"/>
  <c r="R295" i="17"/>
  <c r="U295" i="17" s="1"/>
  <c r="R239" i="17"/>
  <c r="U239" i="17" s="1"/>
  <c r="R241" i="17"/>
  <c r="U241" i="17" s="1"/>
  <c r="R243" i="17"/>
  <c r="U243" i="17" s="1"/>
  <c r="R245" i="17"/>
  <c r="U245" i="17" s="1"/>
  <c r="R247" i="17"/>
  <c r="U247" i="17" s="1"/>
  <c r="R249" i="17"/>
  <c r="U249" i="17" s="1"/>
  <c r="R251" i="17"/>
  <c r="U251" i="17" s="1"/>
  <c r="R253" i="17"/>
  <c r="U253" i="17" s="1"/>
  <c r="R197" i="17"/>
  <c r="U197" i="17" s="1"/>
  <c r="R199" i="17"/>
  <c r="U199" i="17" s="1"/>
  <c r="R201" i="17"/>
  <c r="U201" i="17" s="1"/>
  <c r="R203" i="17"/>
  <c r="U203" i="17" s="1"/>
  <c r="R205" i="17"/>
  <c r="U205" i="17" s="1"/>
  <c r="R207" i="17"/>
  <c r="U207" i="17" s="1"/>
  <c r="R209" i="17"/>
  <c r="U209" i="17" s="1"/>
  <c r="R211" i="17"/>
  <c r="U211" i="17" s="1"/>
  <c r="R155" i="17"/>
  <c r="U155" i="17" s="1"/>
  <c r="R157" i="17"/>
  <c r="U157" i="17" s="1"/>
  <c r="R159" i="17"/>
  <c r="U159" i="17" s="1"/>
  <c r="R161" i="17"/>
  <c r="U161" i="17" s="1"/>
  <c r="R163" i="17"/>
  <c r="U163" i="17" s="1"/>
  <c r="R165" i="17"/>
  <c r="U165" i="17" s="1"/>
  <c r="R167" i="17"/>
  <c r="U167" i="17" s="1"/>
  <c r="R169" i="17"/>
  <c r="U169" i="17" s="1"/>
  <c r="R113" i="17"/>
  <c r="U113" i="17" s="1"/>
  <c r="R115" i="17"/>
  <c r="U115" i="17" s="1"/>
  <c r="R117" i="17"/>
  <c r="U117" i="17" s="1"/>
  <c r="R119" i="17"/>
  <c r="U119" i="17" s="1"/>
  <c r="R121" i="17"/>
  <c r="U121" i="17" s="1"/>
  <c r="R123" i="17"/>
  <c r="U123" i="17" s="1"/>
  <c r="R125" i="17"/>
  <c r="U125" i="17" s="1"/>
  <c r="R127" i="17"/>
  <c r="U127" i="17" s="1"/>
  <c r="R71" i="17"/>
  <c r="U71" i="17" s="1"/>
  <c r="R73" i="17"/>
  <c r="U73" i="17" s="1"/>
  <c r="R75" i="17"/>
  <c r="U75" i="17" s="1"/>
  <c r="R77" i="17"/>
  <c r="U77" i="17" s="1"/>
  <c r="R79" i="17"/>
  <c r="U79" i="17" s="1"/>
  <c r="R81" i="17"/>
  <c r="U81" i="17" s="1"/>
  <c r="R83" i="17"/>
  <c r="U83" i="17" s="1"/>
  <c r="R85" i="17"/>
  <c r="U85" i="17" s="1"/>
  <c r="T120" i="14"/>
  <c r="W120" i="14" s="1"/>
  <c r="T118" i="14"/>
  <c r="W118" i="14" s="1"/>
  <c r="T116" i="14"/>
  <c r="W116" i="14" s="1"/>
  <c r="T114" i="14"/>
  <c r="W114" i="14" s="1"/>
  <c r="R113" i="14"/>
  <c r="U113" i="14" s="1"/>
  <c r="R106" i="14"/>
  <c r="U106" i="14" s="1"/>
  <c r="R104" i="14"/>
  <c r="U104" i="14" s="1"/>
  <c r="R102" i="14"/>
  <c r="U102" i="14" s="1"/>
  <c r="R100" i="14"/>
  <c r="U100" i="14" s="1"/>
  <c r="R98" i="14"/>
  <c r="U98" i="14" s="1"/>
  <c r="R96" i="14"/>
  <c r="U96" i="14" s="1"/>
  <c r="T86" i="14"/>
  <c r="W86" i="14" s="1"/>
  <c r="T84" i="14"/>
  <c r="W84" i="14" s="1"/>
  <c r="T82" i="14"/>
  <c r="W82" i="14" s="1"/>
  <c r="T80" i="14"/>
  <c r="W80" i="14" s="1"/>
  <c r="T78" i="14"/>
  <c r="W78" i="14" s="1"/>
  <c r="T76" i="14"/>
  <c r="W76" i="14" s="1"/>
  <c r="T74" i="14"/>
  <c r="W74" i="14" s="1"/>
  <c r="T72" i="14"/>
  <c r="R71" i="14"/>
  <c r="U71" i="14" s="1"/>
  <c r="R64" i="14"/>
  <c r="U64" i="14" s="1"/>
  <c r="R62" i="14"/>
  <c r="U62" i="14" s="1"/>
  <c r="R60" i="14"/>
  <c r="U60" i="14" s="1"/>
  <c r="R58" i="14"/>
  <c r="U58" i="14" s="1"/>
  <c r="R56" i="14"/>
  <c r="U56" i="14" s="1"/>
  <c r="R54" i="14"/>
  <c r="T44" i="14"/>
  <c r="W44" i="14" s="1"/>
  <c r="T42" i="14"/>
  <c r="W42" i="14" s="1"/>
  <c r="T40" i="14"/>
  <c r="W40" i="14" s="1"/>
  <c r="T38" i="14"/>
  <c r="W38" i="14" s="1"/>
  <c r="T36" i="14"/>
  <c r="W36" i="14" s="1"/>
  <c r="T34" i="14"/>
  <c r="W34" i="14" s="1"/>
  <c r="T32" i="14"/>
  <c r="W32" i="14" s="1"/>
  <c r="T30" i="14"/>
  <c r="W30" i="14" s="1"/>
  <c r="R29" i="14"/>
  <c r="R22" i="14"/>
  <c r="U22" i="14" s="1"/>
  <c r="R20" i="14"/>
  <c r="U20" i="14" s="1"/>
  <c r="R18" i="14"/>
  <c r="U18" i="14" s="1"/>
  <c r="R16" i="14"/>
  <c r="U16" i="14" s="1"/>
  <c r="R14" i="14"/>
  <c r="U14" i="14" s="1"/>
  <c r="R12" i="14"/>
  <c r="U12" i="14" s="1"/>
  <c r="T422" i="15"/>
  <c r="W422" i="15" s="1"/>
  <c r="T420" i="15"/>
  <c r="W420" i="15" s="1"/>
  <c r="T418" i="15"/>
  <c r="W418" i="15" s="1"/>
  <c r="T416" i="15"/>
  <c r="W416" i="15" s="1"/>
  <c r="T414" i="15"/>
  <c r="W414" i="15" s="1"/>
  <c r="T412" i="15"/>
  <c r="W412" i="15" s="1"/>
  <c r="T410" i="15"/>
  <c r="W410" i="15" s="1"/>
  <c r="T408" i="15"/>
  <c r="W408" i="15" s="1"/>
  <c r="R407" i="15"/>
  <c r="U407" i="15" s="1"/>
  <c r="R400" i="15"/>
  <c r="U400" i="15" s="1"/>
  <c r="R398" i="15"/>
  <c r="U398" i="15" s="1"/>
  <c r="R396" i="15"/>
  <c r="U396" i="15" s="1"/>
  <c r="R394" i="15"/>
  <c r="U394" i="15" s="1"/>
  <c r="R392" i="15"/>
  <c r="U392" i="15" s="1"/>
  <c r="R390" i="15"/>
  <c r="T380" i="15"/>
  <c r="W380" i="15" s="1"/>
  <c r="T378" i="15"/>
  <c r="W378" i="15" s="1"/>
  <c r="T376" i="15"/>
  <c r="W376" i="15" s="1"/>
  <c r="T374" i="15"/>
  <c r="W374" i="15" s="1"/>
  <c r="T372" i="15"/>
  <c r="W372" i="15" s="1"/>
  <c r="T370" i="15"/>
  <c r="W370" i="15" s="1"/>
  <c r="T368" i="15"/>
  <c r="W368" i="15" s="1"/>
  <c r="T366" i="15"/>
  <c r="R365" i="15"/>
  <c r="U365" i="15" s="1"/>
  <c r="R358" i="15"/>
  <c r="U358" i="15" s="1"/>
  <c r="R356" i="15"/>
  <c r="U356" i="15" s="1"/>
  <c r="R354" i="15"/>
  <c r="U354" i="15" s="1"/>
  <c r="R352" i="15"/>
  <c r="U352" i="15" s="1"/>
  <c r="R350" i="15"/>
  <c r="U350" i="15" s="1"/>
  <c r="R348" i="15"/>
  <c r="U348" i="15" s="1"/>
  <c r="T338" i="15"/>
  <c r="W338" i="15" s="1"/>
  <c r="T336" i="15"/>
  <c r="W336" i="15" s="1"/>
  <c r="T334" i="15"/>
  <c r="W334" i="15" s="1"/>
  <c r="T332" i="15"/>
  <c r="W332" i="15" s="1"/>
  <c r="T330" i="15"/>
  <c r="W330" i="15" s="1"/>
  <c r="T328" i="15"/>
  <c r="W328" i="15" s="1"/>
  <c r="T326" i="15"/>
  <c r="W326" i="15" s="1"/>
  <c r="T324" i="15"/>
  <c r="R323" i="15"/>
  <c r="U323" i="15" s="1"/>
  <c r="R316" i="15"/>
  <c r="U316" i="15" s="1"/>
  <c r="R314" i="15"/>
  <c r="U314" i="15" s="1"/>
  <c r="R312" i="15"/>
  <c r="U312" i="15" s="1"/>
  <c r="R310" i="15"/>
  <c r="U310" i="15" s="1"/>
  <c r="R308" i="15"/>
  <c r="U308" i="15" s="1"/>
  <c r="R306" i="15"/>
  <c r="U306" i="15" s="1"/>
  <c r="T296" i="15"/>
  <c r="W296" i="15" s="1"/>
  <c r="T294" i="15"/>
  <c r="W294" i="15" s="1"/>
  <c r="T292" i="15"/>
  <c r="W292" i="15" s="1"/>
  <c r="T290" i="15"/>
  <c r="W290" i="15" s="1"/>
  <c r="T288" i="15"/>
  <c r="W288" i="15" s="1"/>
  <c r="T286" i="15"/>
  <c r="W286" i="15" s="1"/>
  <c r="T284" i="15"/>
  <c r="W284" i="15" s="1"/>
  <c r="T282" i="15"/>
  <c r="W282" i="15" s="1"/>
  <c r="R281" i="15"/>
  <c r="R274" i="15"/>
  <c r="U274" i="15" s="1"/>
  <c r="R272" i="15"/>
  <c r="U272" i="15" s="1"/>
  <c r="R270" i="15"/>
  <c r="U270" i="15" s="1"/>
  <c r="R268" i="15"/>
  <c r="U268" i="15" s="1"/>
  <c r="R266" i="15"/>
  <c r="U266" i="15" s="1"/>
  <c r="R264" i="15"/>
  <c r="U264" i="15" s="1"/>
  <c r="T254" i="15"/>
  <c r="W254" i="15" s="1"/>
  <c r="T252" i="15"/>
  <c r="W252" i="15" s="1"/>
  <c r="T250" i="15"/>
  <c r="W250" i="15" s="1"/>
  <c r="T248" i="15"/>
  <c r="W248" i="15" s="1"/>
  <c r="T246" i="15"/>
  <c r="W246" i="15" s="1"/>
  <c r="T244" i="15"/>
  <c r="W244" i="15" s="1"/>
  <c r="T242" i="15"/>
  <c r="W242" i="15" s="1"/>
  <c r="T240" i="15"/>
  <c r="W240" i="15" s="1"/>
  <c r="R239" i="15"/>
  <c r="U239" i="15" s="1"/>
  <c r="R232" i="15"/>
  <c r="U232" i="15" s="1"/>
  <c r="R230" i="15"/>
  <c r="U230" i="15" s="1"/>
  <c r="R228" i="15"/>
  <c r="U228" i="15" s="1"/>
  <c r="R226" i="15"/>
  <c r="U226" i="15" s="1"/>
  <c r="R224" i="15"/>
  <c r="U224" i="15" s="1"/>
  <c r="R222" i="15"/>
  <c r="U222" i="15" s="1"/>
  <c r="T212" i="15"/>
  <c r="W212" i="15" s="1"/>
  <c r="T210" i="15"/>
  <c r="W210" i="15" s="1"/>
  <c r="T208" i="15"/>
  <c r="W208" i="15" s="1"/>
  <c r="T206" i="15"/>
  <c r="W206" i="15" s="1"/>
  <c r="T204" i="15"/>
  <c r="W204" i="15" s="1"/>
  <c r="T202" i="15"/>
  <c r="W202" i="15" s="1"/>
  <c r="T200" i="15"/>
  <c r="W200" i="15" s="1"/>
  <c r="T198" i="15"/>
  <c r="W198" i="15" s="1"/>
  <c r="R197" i="15"/>
  <c r="U197" i="15" s="1"/>
  <c r="R190" i="15"/>
  <c r="U190" i="15" s="1"/>
  <c r="R188" i="15"/>
  <c r="U188" i="15" s="1"/>
  <c r="R186" i="15"/>
  <c r="U186" i="15" s="1"/>
  <c r="R184" i="15"/>
  <c r="U184" i="15" s="1"/>
  <c r="R182" i="15"/>
  <c r="U182" i="15" s="1"/>
  <c r="R180" i="15"/>
  <c r="U180" i="15" s="1"/>
  <c r="T170" i="15"/>
  <c r="W170" i="15" s="1"/>
  <c r="T168" i="15"/>
  <c r="W168" i="15" s="1"/>
  <c r="T166" i="15"/>
  <c r="W166" i="15" s="1"/>
  <c r="T164" i="15"/>
  <c r="W164" i="15" s="1"/>
  <c r="T162" i="15"/>
  <c r="W162" i="15" s="1"/>
  <c r="T160" i="15"/>
  <c r="W160" i="15" s="1"/>
  <c r="T158" i="15"/>
  <c r="W158" i="15" s="1"/>
  <c r="T156" i="15"/>
  <c r="R155" i="15"/>
  <c r="U155" i="15" s="1"/>
  <c r="R148" i="15"/>
  <c r="U148" i="15" s="1"/>
  <c r="R146" i="15"/>
  <c r="U146" i="15" s="1"/>
  <c r="R144" i="15"/>
  <c r="U144" i="15" s="1"/>
  <c r="R142" i="15"/>
  <c r="U142" i="15" s="1"/>
  <c r="R140" i="15"/>
  <c r="U140" i="15" s="1"/>
  <c r="R138" i="15"/>
  <c r="T128" i="15"/>
  <c r="W128" i="15" s="1"/>
  <c r="T126" i="15"/>
  <c r="W126" i="15" s="1"/>
  <c r="T124" i="15"/>
  <c r="W124" i="15" s="1"/>
  <c r="T122" i="15"/>
  <c r="W122" i="15" s="1"/>
  <c r="T120" i="15"/>
  <c r="W120" i="15" s="1"/>
  <c r="T118" i="15"/>
  <c r="W118" i="15" s="1"/>
  <c r="T116" i="15"/>
  <c r="W116" i="15" s="1"/>
  <c r="T114" i="15"/>
  <c r="W114" i="15" s="1"/>
  <c r="R113" i="15"/>
  <c r="R106" i="15"/>
  <c r="U106" i="15" s="1"/>
  <c r="R104" i="15"/>
  <c r="U104" i="15" s="1"/>
  <c r="R102" i="15"/>
  <c r="U102" i="15" s="1"/>
  <c r="R100" i="15"/>
  <c r="U100" i="15" s="1"/>
  <c r="R98" i="15"/>
  <c r="U98" i="15" s="1"/>
  <c r="R96" i="15"/>
  <c r="U96" i="15" s="1"/>
  <c r="T86" i="15"/>
  <c r="W86" i="15" s="1"/>
  <c r="T84" i="15"/>
  <c r="W84" i="15" s="1"/>
  <c r="T82" i="15"/>
  <c r="W82" i="15" s="1"/>
  <c r="T80" i="15"/>
  <c r="W80" i="15" s="1"/>
  <c r="T78" i="15"/>
  <c r="W78" i="15" s="1"/>
  <c r="T76" i="15"/>
  <c r="W76" i="15" s="1"/>
  <c r="T74" i="15"/>
  <c r="W74" i="15" s="1"/>
  <c r="T72" i="15"/>
  <c r="W72" i="15" s="1"/>
  <c r="R71" i="15"/>
  <c r="U71" i="15" s="1"/>
  <c r="R64" i="15"/>
  <c r="U64" i="15" s="1"/>
  <c r="R62" i="15"/>
  <c r="U62" i="15" s="1"/>
  <c r="R60" i="15"/>
  <c r="U60" i="15" s="1"/>
  <c r="R58" i="15"/>
  <c r="U58" i="15" s="1"/>
  <c r="R56" i="15"/>
  <c r="U56" i="15" s="1"/>
  <c r="R54" i="15"/>
  <c r="U54" i="15" s="1"/>
  <c r="T44" i="15"/>
  <c r="W44" i="15" s="1"/>
  <c r="T42" i="15"/>
  <c r="W42" i="15" s="1"/>
  <c r="T40" i="15"/>
  <c r="W40" i="15" s="1"/>
  <c r="T38" i="15"/>
  <c r="W38" i="15" s="1"/>
  <c r="T36" i="15"/>
  <c r="W36" i="15" s="1"/>
  <c r="T34" i="15"/>
  <c r="W34" i="15" s="1"/>
  <c r="T32" i="15"/>
  <c r="W32" i="15" s="1"/>
  <c r="T30" i="15"/>
  <c r="R29" i="15"/>
  <c r="R22" i="15"/>
  <c r="U22" i="15" s="1"/>
  <c r="R20" i="15"/>
  <c r="U20" i="15" s="1"/>
  <c r="R18" i="15"/>
  <c r="U18" i="15" s="1"/>
  <c r="R16" i="15"/>
  <c r="U16" i="15" s="1"/>
  <c r="R14" i="15"/>
  <c r="U14" i="15" s="1"/>
  <c r="R12" i="15"/>
  <c r="U12" i="15" s="1"/>
  <c r="T422" i="16"/>
  <c r="W422" i="16" s="1"/>
  <c r="T420" i="16"/>
  <c r="W420" i="16" s="1"/>
  <c r="T418" i="16"/>
  <c r="W418" i="16" s="1"/>
  <c r="T416" i="16"/>
  <c r="W416" i="16" s="1"/>
  <c r="T414" i="16"/>
  <c r="W414" i="16" s="1"/>
  <c r="T412" i="16"/>
  <c r="W412" i="16" s="1"/>
  <c r="T410" i="16"/>
  <c r="W410" i="16" s="1"/>
  <c r="T408" i="16"/>
  <c r="R407" i="16"/>
  <c r="U407" i="16" s="1"/>
  <c r="R400" i="16"/>
  <c r="U400" i="16" s="1"/>
  <c r="R398" i="16"/>
  <c r="U398" i="16" s="1"/>
  <c r="R396" i="16"/>
  <c r="U396" i="16" s="1"/>
  <c r="R394" i="16"/>
  <c r="U394" i="16" s="1"/>
  <c r="R392" i="16"/>
  <c r="U392" i="16" s="1"/>
  <c r="R390" i="16"/>
  <c r="U390" i="16" s="1"/>
  <c r="T380" i="16"/>
  <c r="W380" i="16" s="1"/>
  <c r="T378" i="16"/>
  <c r="W378" i="16" s="1"/>
  <c r="T376" i="16"/>
  <c r="W376" i="16" s="1"/>
  <c r="T374" i="16"/>
  <c r="W374" i="16" s="1"/>
  <c r="T372" i="16"/>
  <c r="W372" i="16" s="1"/>
  <c r="T370" i="16"/>
  <c r="W370" i="16" s="1"/>
  <c r="T368" i="16"/>
  <c r="W368" i="16" s="1"/>
  <c r="T366" i="16"/>
  <c r="W366" i="16" s="1"/>
  <c r="R365" i="16"/>
  <c r="R358" i="16"/>
  <c r="U358" i="16" s="1"/>
  <c r="R356" i="16"/>
  <c r="U356" i="16" s="1"/>
  <c r="R354" i="16"/>
  <c r="U354" i="16" s="1"/>
  <c r="R352" i="16"/>
  <c r="U352" i="16" s="1"/>
  <c r="R350" i="16"/>
  <c r="U350" i="16" s="1"/>
  <c r="R348" i="16"/>
  <c r="U348" i="16" s="1"/>
  <c r="T338" i="16"/>
  <c r="W338" i="16" s="1"/>
  <c r="T336" i="16"/>
  <c r="W336" i="16" s="1"/>
  <c r="T334" i="16"/>
  <c r="W334" i="16" s="1"/>
  <c r="T332" i="16"/>
  <c r="W332" i="16" s="1"/>
  <c r="T330" i="16"/>
  <c r="W330" i="16" s="1"/>
  <c r="T328" i="16"/>
  <c r="W328" i="16" s="1"/>
  <c r="T326" i="16"/>
  <c r="W326" i="16" s="1"/>
  <c r="T324" i="16"/>
  <c r="W324" i="16" s="1"/>
  <c r="R323" i="16"/>
  <c r="U323" i="16" s="1"/>
  <c r="R316" i="16"/>
  <c r="U316" i="16" s="1"/>
  <c r="R314" i="16"/>
  <c r="U314" i="16" s="1"/>
  <c r="R312" i="16"/>
  <c r="U312" i="16" s="1"/>
  <c r="R310" i="16"/>
  <c r="U310" i="16" s="1"/>
  <c r="R308" i="16"/>
  <c r="U308" i="16" s="1"/>
  <c r="R306" i="16"/>
  <c r="T296" i="16"/>
  <c r="W296" i="16" s="1"/>
  <c r="T294" i="16"/>
  <c r="W294" i="16" s="1"/>
  <c r="T292" i="16"/>
  <c r="W292" i="16" s="1"/>
  <c r="T290" i="16"/>
  <c r="W290" i="16" s="1"/>
  <c r="T288" i="16"/>
  <c r="W288" i="16" s="1"/>
  <c r="T286" i="16"/>
  <c r="W286" i="16" s="1"/>
  <c r="T284" i="16"/>
  <c r="W284" i="16" s="1"/>
  <c r="T282" i="16"/>
  <c r="W282" i="16" s="1"/>
  <c r="R281" i="16"/>
  <c r="R274" i="16"/>
  <c r="U274" i="16" s="1"/>
  <c r="R272" i="16"/>
  <c r="U272" i="16" s="1"/>
  <c r="R270" i="16"/>
  <c r="U270" i="16" s="1"/>
  <c r="R268" i="16"/>
  <c r="U268" i="16" s="1"/>
  <c r="R266" i="16"/>
  <c r="U266" i="16" s="1"/>
  <c r="R264" i="16"/>
  <c r="U264" i="16" s="1"/>
  <c r="T254" i="16"/>
  <c r="W254" i="16" s="1"/>
  <c r="T252" i="16"/>
  <c r="W252" i="16" s="1"/>
  <c r="T250" i="16"/>
  <c r="W250" i="16" s="1"/>
  <c r="T248" i="16"/>
  <c r="W248" i="16" s="1"/>
  <c r="T246" i="16"/>
  <c r="W246" i="16" s="1"/>
  <c r="T244" i="16"/>
  <c r="W244" i="16" s="1"/>
  <c r="T242" i="16"/>
  <c r="W242" i="16" s="1"/>
  <c r="T240" i="16"/>
  <c r="R239" i="16"/>
  <c r="U239" i="16" s="1"/>
  <c r="R232" i="16"/>
  <c r="U232" i="16" s="1"/>
  <c r="R230" i="16"/>
  <c r="U230" i="16" s="1"/>
  <c r="R228" i="16"/>
  <c r="U228" i="16" s="1"/>
  <c r="R226" i="16"/>
  <c r="U226" i="16" s="1"/>
  <c r="R224" i="16"/>
  <c r="U224" i="16" s="1"/>
  <c r="R222" i="16"/>
  <c r="T212" i="16"/>
  <c r="W212" i="16" s="1"/>
  <c r="T210" i="16"/>
  <c r="W210" i="16" s="1"/>
  <c r="T208" i="16"/>
  <c r="W208" i="16" s="1"/>
  <c r="T206" i="16"/>
  <c r="W206" i="16" s="1"/>
  <c r="T204" i="16"/>
  <c r="W204" i="16" s="1"/>
  <c r="T202" i="16"/>
  <c r="W202" i="16" s="1"/>
  <c r="T200" i="16"/>
  <c r="W200" i="16" s="1"/>
  <c r="T198" i="16"/>
  <c r="W198" i="16" s="1"/>
  <c r="R197" i="16"/>
  <c r="R190" i="16"/>
  <c r="U190" i="16" s="1"/>
  <c r="R188" i="16"/>
  <c r="U188" i="16" s="1"/>
  <c r="R186" i="16"/>
  <c r="U186" i="16" s="1"/>
  <c r="R184" i="16"/>
  <c r="U184" i="16" s="1"/>
  <c r="R182" i="16"/>
  <c r="U182" i="16" s="1"/>
  <c r="R180" i="16"/>
  <c r="U180" i="16" s="1"/>
  <c r="T170" i="16"/>
  <c r="W170" i="16" s="1"/>
  <c r="T168" i="16"/>
  <c r="W168" i="16" s="1"/>
  <c r="T166" i="16"/>
  <c r="W166" i="16" s="1"/>
  <c r="T164" i="16"/>
  <c r="W164" i="16" s="1"/>
  <c r="T162" i="16"/>
  <c r="W162" i="16" s="1"/>
  <c r="T160" i="16"/>
  <c r="W160" i="16" s="1"/>
  <c r="T158" i="16"/>
  <c r="W158" i="16" s="1"/>
  <c r="T156" i="16"/>
  <c r="W156" i="16" s="1"/>
  <c r="R155" i="16"/>
  <c r="U155" i="16" s="1"/>
  <c r="R148" i="16"/>
  <c r="U148" i="16" s="1"/>
  <c r="R146" i="16"/>
  <c r="U146" i="16" s="1"/>
  <c r="R144" i="16"/>
  <c r="U144" i="16" s="1"/>
  <c r="R142" i="16"/>
  <c r="U142" i="16" s="1"/>
  <c r="R140" i="16"/>
  <c r="U140" i="16" s="1"/>
  <c r="R138" i="16"/>
  <c r="U138" i="16" s="1"/>
  <c r="T128" i="16"/>
  <c r="W128" i="16" s="1"/>
  <c r="T126" i="16"/>
  <c r="W126" i="16" s="1"/>
  <c r="T124" i="16"/>
  <c r="W124" i="16" s="1"/>
  <c r="T122" i="16"/>
  <c r="W122" i="16" s="1"/>
  <c r="T120" i="16"/>
  <c r="W120" i="16" s="1"/>
  <c r="T118" i="16"/>
  <c r="W118" i="16" s="1"/>
  <c r="T116" i="16"/>
  <c r="W116" i="16" s="1"/>
  <c r="T114" i="16"/>
  <c r="W114" i="16" s="1"/>
  <c r="R113" i="16"/>
  <c r="R106" i="16"/>
  <c r="U106" i="16" s="1"/>
  <c r="R104" i="16"/>
  <c r="U104" i="16" s="1"/>
  <c r="R102" i="16"/>
  <c r="U102" i="16" s="1"/>
  <c r="R100" i="16"/>
  <c r="U100" i="16" s="1"/>
  <c r="R98" i="16"/>
  <c r="U98" i="16" s="1"/>
  <c r="R96" i="16"/>
  <c r="U96" i="16" s="1"/>
  <c r="T86" i="16"/>
  <c r="W86" i="16" s="1"/>
  <c r="T84" i="16"/>
  <c r="W84" i="16" s="1"/>
  <c r="T82" i="16"/>
  <c r="W82" i="16" s="1"/>
  <c r="T80" i="16"/>
  <c r="W80" i="16" s="1"/>
  <c r="T78" i="16"/>
  <c r="W78" i="16" s="1"/>
  <c r="T76" i="16"/>
  <c r="W76" i="16" s="1"/>
  <c r="R75" i="16"/>
  <c r="U75" i="16" s="1"/>
  <c r="T65" i="16"/>
  <c r="W65" i="16" s="1"/>
  <c r="T63" i="16"/>
  <c r="W63" i="16" s="1"/>
  <c r="T61" i="16"/>
  <c r="W61" i="16" s="1"/>
  <c r="T59" i="16"/>
  <c r="W59" i="16" s="1"/>
  <c r="T57" i="16"/>
  <c r="W57" i="16" s="1"/>
  <c r="T55" i="16"/>
  <c r="W55" i="16" s="1"/>
  <c r="T53" i="16"/>
  <c r="W53" i="16" s="1"/>
  <c r="T51" i="16"/>
  <c r="W51" i="16" s="1"/>
  <c r="T23" i="16"/>
  <c r="W23" i="16" s="1"/>
  <c r="T21" i="16"/>
  <c r="W21" i="16" s="1"/>
  <c r="T19" i="16"/>
  <c r="W19" i="16" s="1"/>
  <c r="T17" i="16"/>
  <c r="W17" i="16" s="1"/>
  <c r="T15" i="16"/>
  <c r="W15" i="16" s="1"/>
  <c r="T13" i="16"/>
  <c r="W13" i="16" s="1"/>
  <c r="T11" i="16"/>
  <c r="W11" i="16" s="1"/>
  <c r="T9" i="16"/>
  <c r="W9" i="16" s="1"/>
  <c r="O28" i="16"/>
  <c r="T401" i="17"/>
  <c r="W401" i="17" s="1"/>
  <c r="T399" i="17"/>
  <c r="W399" i="17" s="1"/>
  <c r="T397" i="17"/>
  <c r="W397" i="17" s="1"/>
  <c r="T395" i="17"/>
  <c r="W395" i="17" s="1"/>
  <c r="T393" i="17"/>
  <c r="W393" i="17" s="1"/>
  <c r="T391" i="17"/>
  <c r="W391" i="17" s="1"/>
  <c r="T389" i="17"/>
  <c r="W389" i="17" s="1"/>
  <c r="T387" i="17"/>
  <c r="O406" i="17"/>
  <c r="T359" i="17"/>
  <c r="W359" i="17" s="1"/>
  <c r="T357" i="17"/>
  <c r="W357" i="17" s="1"/>
  <c r="T355" i="17"/>
  <c r="W355" i="17" s="1"/>
  <c r="T353" i="17"/>
  <c r="W353" i="17" s="1"/>
  <c r="T351" i="17"/>
  <c r="W351" i="17" s="1"/>
  <c r="T349" i="17"/>
  <c r="W349" i="17" s="1"/>
  <c r="T347" i="17"/>
  <c r="W347" i="17" s="1"/>
  <c r="T345" i="17"/>
  <c r="W345" i="17" s="1"/>
  <c r="O364" i="17"/>
  <c r="T317" i="17"/>
  <c r="W317" i="17" s="1"/>
  <c r="T315" i="17"/>
  <c r="W315" i="17" s="1"/>
  <c r="T313" i="17"/>
  <c r="W313" i="17" s="1"/>
  <c r="T311" i="17"/>
  <c r="W311" i="17" s="1"/>
  <c r="T309" i="17"/>
  <c r="W309" i="17" s="1"/>
  <c r="T307" i="17"/>
  <c r="W307" i="17" s="1"/>
  <c r="T305" i="17"/>
  <c r="W305" i="17" s="1"/>
  <c r="T303" i="17"/>
  <c r="W303" i="17" s="1"/>
  <c r="O322" i="17"/>
  <c r="T275" i="17"/>
  <c r="W275" i="17" s="1"/>
  <c r="T273" i="17"/>
  <c r="W273" i="17" s="1"/>
  <c r="T271" i="17"/>
  <c r="W271" i="17" s="1"/>
  <c r="T269" i="17"/>
  <c r="W269" i="17" s="1"/>
  <c r="T267" i="17"/>
  <c r="W267" i="17" s="1"/>
  <c r="T265" i="17"/>
  <c r="W265" i="17" s="1"/>
  <c r="T263" i="17"/>
  <c r="W263" i="17" s="1"/>
  <c r="T261" i="17"/>
  <c r="W261" i="17" s="1"/>
  <c r="O280" i="17"/>
  <c r="T233" i="17"/>
  <c r="W233" i="17" s="1"/>
  <c r="T231" i="17"/>
  <c r="W231" i="17" s="1"/>
  <c r="T229" i="17"/>
  <c r="W229" i="17" s="1"/>
  <c r="T227" i="17"/>
  <c r="W227" i="17" s="1"/>
  <c r="T225" i="17"/>
  <c r="W225" i="17" s="1"/>
  <c r="T223" i="17"/>
  <c r="W223" i="17" s="1"/>
  <c r="T221" i="17"/>
  <c r="W221" i="17" s="1"/>
  <c r="T219" i="17"/>
  <c r="W219" i="17" s="1"/>
  <c r="O238" i="17"/>
  <c r="T191" i="17"/>
  <c r="W191" i="17" s="1"/>
  <c r="T189" i="17"/>
  <c r="W189" i="17" s="1"/>
  <c r="T187" i="17"/>
  <c r="W187" i="17" s="1"/>
  <c r="T185" i="17"/>
  <c r="W185" i="17" s="1"/>
  <c r="T183" i="17"/>
  <c r="W183" i="17" s="1"/>
  <c r="T181" i="17"/>
  <c r="W181" i="17" s="1"/>
  <c r="T179" i="17"/>
  <c r="W179" i="17" s="1"/>
  <c r="T177" i="17"/>
  <c r="W177" i="17" s="1"/>
  <c r="O196" i="17"/>
  <c r="T149" i="17"/>
  <c r="W149" i="17" s="1"/>
  <c r="T147" i="17"/>
  <c r="W147" i="17" s="1"/>
  <c r="T145" i="17"/>
  <c r="W145" i="17" s="1"/>
  <c r="T143" i="17"/>
  <c r="W143" i="17" s="1"/>
  <c r="T141" i="17"/>
  <c r="W141" i="17" s="1"/>
  <c r="T139" i="17"/>
  <c r="W139" i="17" s="1"/>
  <c r="T137" i="17"/>
  <c r="W137" i="17" s="1"/>
  <c r="T135" i="17"/>
  <c r="W135" i="17" s="1"/>
  <c r="O154" i="17"/>
  <c r="T107" i="17"/>
  <c r="W107" i="17" s="1"/>
  <c r="T105" i="17"/>
  <c r="W105" i="17" s="1"/>
  <c r="T103" i="17"/>
  <c r="W103" i="17" s="1"/>
  <c r="T101" i="17"/>
  <c r="W101" i="17" s="1"/>
  <c r="T99" i="17"/>
  <c r="W99" i="17" s="1"/>
  <c r="T97" i="17"/>
  <c r="W97" i="17" s="1"/>
  <c r="T95" i="17"/>
  <c r="W95" i="17" s="1"/>
  <c r="T93" i="17"/>
  <c r="W93" i="17" s="1"/>
  <c r="O112" i="17"/>
  <c r="O70" i="17"/>
  <c r="R386" i="20"/>
  <c r="U386" i="20" s="1"/>
  <c r="T388" i="20"/>
  <c r="W388" i="20" s="1"/>
  <c r="T323" i="20"/>
  <c r="R324" i="20"/>
  <c r="U324" i="20" s="1"/>
  <c r="R326" i="20"/>
  <c r="U326" i="20" s="1"/>
  <c r="R328" i="20"/>
  <c r="U328" i="20" s="1"/>
  <c r="R330" i="20"/>
  <c r="U330" i="20" s="1"/>
  <c r="R332" i="20"/>
  <c r="U332" i="20" s="1"/>
  <c r="R334" i="20"/>
  <c r="U334" i="20" s="1"/>
  <c r="R336" i="20"/>
  <c r="U336" i="20" s="1"/>
  <c r="R338" i="20"/>
  <c r="U338" i="20" s="1"/>
  <c r="R220" i="20"/>
  <c r="U220" i="20" s="1"/>
  <c r="R222" i="20"/>
  <c r="U222" i="20" s="1"/>
  <c r="R224" i="20"/>
  <c r="U224" i="20" s="1"/>
  <c r="R226" i="20"/>
  <c r="U226" i="20" s="1"/>
  <c r="R228" i="20"/>
  <c r="U228" i="20" s="1"/>
  <c r="R230" i="20"/>
  <c r="U230" i="20" s="1"/>
  <c r="R232" i="20"/>
  <c r="U232" i="20" s="1"/>
  <c r="R159" i="18"/>
  <c r="U159" i="18" s="1"/>
  <c r="T149" i="18"/>
  <c r="W149" i="18" s="1"/>
  <c r="T147" i="18"/>
  <c r="W147" i="18" s="1"/>
  <c r="T145" i="18"/>
  <c r="W145" i="18" s="1"/>
  <c r="T143" i="18"/>
  <c r="W143" i="18" s="1"/>
  <c r="T141" i="18"/>
  <c r="W141" i="18" s="1"/>
  <c r="T139" i="18"/>
  <c r="W139" i="18" s="1"/>
  <c r="T137" i="18"/>
  <c r="W137" i="18" s="1"/>
  <c r="T135" i="18"/>
  <c r="W135" i="18" s="1"/>
  <c r="R134" i="18"/>
  <c r="U134" i="18" s="1"/>
  <c r="R127" i="18"/>
  <c r="U127" i="18" s="1"/>
  <c r="R125" i="18"/>
  <c r="U125" i="18" s="1"/>
  <c r="R123" i="18"/>
  <c r="U123" i="18" s="1"/>
  <c r="R121" i="18"/>
  <c r="U121" i="18" s="1"/>
  <c r="R119" i="18"/>
  <c r="U119" i="18" s="1"/>
  <c r="R117" i="18"/>
  <c r="U117" i="18" s="1"/>
  <c r="T107" i="18"/>
  <c r="W107" i="18" s="1"/>
  <c r="T105" i="18"/>
  <c r="W105" i="18" s="1"/>
  <c r="T103" i="18"/>
  <c r="W103" i="18" s="1"/>
  <c r="T101" i="18"/>
  <c r="W101" i="18" s="1"/>
  <c r="T99" i="18"/>
  <c r="W99" i="18" s="1"/>
  <c r="T97" i="18"/>
  <c r="W97" i="18" s="1"/>
  <c r="T95" i="18"/>
  <c r="W95" i="18" s="1"/>
  <c r="T93" i="18"/>
  <c r="W93" i="18" s="1"/>
  <c r="R92" i="18"/>
  <c r="R85" i="18"/>
  <c r="U85" i="18" s="1"/>
  <c r="R83" i="18"/>
  <c r="U83" i="18" s="1"/>
  <c r="R81" i="18"/>
  <c r="U81" i="18" s="1"/>
  <c r="R79" i="18"/>
  <c r="U79" i="18" s="1"/>
  <c r="R77" i="18"/>
  <c r="U77" i="18" s="1"/>
  <c r="R75" i="18"/>
  <c r="U75" i="18" s="1"/>
  <c r="T65" i="18"/>
  <c r="W65" i="18" s="1"/>
  <c r="T63" i="18"/>
  <c r="W63" i="18" s="1"/>
  <c r="T61" i="18"/>
  <c r="W61" i="18" s="1"/>
  <c r="T59" i="18"/>
  <c r="W59" i="18" s="1"/>
  <c r="T57" i="18"/>
  <c r="W57" i="18" s="1"/>
  <c r="T55" i="18"/>
  <c r="W55" i="18" s="1"/>
  <c r="T53" i="18"/>
  <c r="W53" i="18" s="1"/>
  <c r="T51" i="18"/>
  <c r="R50" i="18"/>
  <c r="U50" i="18" s="1"/>
  <c r="R43" i="18"/>
  <c r="U43" i="18" s="1"/>
  <c r="R41" i="18"/>
  <c r="U41" i="18" s="1"/>
  <c r="R39" i="18"/>
  <c r="U39" i="18" s="1"/>
  <c r="R37" i="18"/>
  <c r="U37" i="18" s="1"/>
  <c r="R35" i="18"/>
  <c r="U35" i="18" s="1"/>
  <c r="R33" i="18"/>
  <c r="U33" i="18" s="1"/>
  <c r="T23" i="18"/>
  <c r="W23" i="18" s="1"/>
  <c r="T21" i="18"/>
  <c r="W21" i="18" s="1"/>
  <c r="T19" i="18"/>
  <c r="W19" i="18" s="1"/>
  <c r="T17" i="18"/>
  <c r="W17" i="18" s="1"/>
  <c r="T15" i="18"/>
  <c r="W15" i="18" s="1"/>
  <c r="T13" i="18"/>
  <c r="W13" i="18" s="1"/>
  <c r="T11" i="18"/>
  <c r="W11" i="18" s="1"/>
  <c r="T9" i="18"/>
  <c r="W9" i="18" s="1"/>
  <c r="R8" i="18"/>
  <c r="U8" i="18" s="1"/>
  <c r="R421" i="19"/>
  <c r="U421" i="19" s="1"/>
  <c r="R419" i="19"/>
  <c r="U419" i="19" s="1"/>
  <c r="R417" i="19"/>
  <c r="U417" i="19" s="1"/>
  <c r="R415" i="19"/>
  <c r="U415" i="19" s="1"/>
  <c r="R413" i="19"/>
  <c r="U413" i="19" s="1"/>
  <c r="R411" i="19"/>
  <c r="U411" i="19" s="1"/>
  <c r="T401" i="19"/>
  <c r="W401" i="19" s="1"/>
  <c r="T399" i="19"/>
  <c r="W399" i="19" s="1"/>
  <c r="T397" i="19"/>
  <c r="W397" i="19" s="1"/>
  <c r="T395" i="19"/>
  <c r="W395" i="19" s="1"/>
  <c r="T393" i="19"/>
  <c r="W393" i="19" s="1"/>
  <c r="T391" i="19"/>
  <c r="W391" i="19" s="1"/>
  <c r="T389" i="19"/>
  <c r="W389" i="19" s="1"/>
  <c r="T387" i="19"/>
  <c r="W387" i="19" s="1"/>
  <c r="R386" i="19"/>
  <c r="U386" i="19" s="1"/>
  <c r="R379" i="19"/>
  <c r="U379" i="19" s="1"/>
  <c r="R377" i="19"/>
  <c r="U377" i="19" s="1"/>
  <c r="R375" i="19"/>
  <c r="U375" i="19" s="1"/>
  <c r="R373" i="19"/>
  <c r="U373" i="19" s="1"/>
  <c r="R371" i="19"/>
  <c r="U371" i="19" s="1"/>
  <c r="R369" i="19"/>
  <c r="U369" i="19" s="1"/>
  <c r="T359" i="19"/>
  <c r="W359" i="19" s="1"/>
  <c r="T357" i="19"/>
  <c r="W357" i="19" s="1"/>
  <c r="T355" i="19"/>
  <c r="W355" i="19" s="1"/>
  <c r="T353" i="19"/>
  <c r="W353" i="19" s="1"/>
  <c r="T351" i="19"/>
  <c r="W351" i="19" s="1"/>
  <c r="T349" i="19"/>
  <c r="W349" i="19" s="1"/>
  <c r="T347" i="19"/>
  <c r="W347" i="19" s="1"/>
  <c r="T345" i="19"/>
  <c r="W345" i="19" s="1"/>
  <c r="R344" i="19"/>
  <c r="R337" i="19"/>
  <c r="U337" i="19" s="1"/>
  <c r="R335" i="19"/>
  <c r="U335" i="19" s="1"/>
  <c r="R333" i="19"/>
  <c r="U333" i="19" s="1"/>
  <c r="R331" i="19"/>
  <c r="U331" i="19" s="1"/>
  <c r="R329" i="19"/>
  <c r="U329" i="19" s="1"/>
  <c r="R327" i="19"/>
  <c r="U327" i="19" s="1"/>
  <c r="T317" i="19"/>
  <c r="W317" i="19" s="1"/>
  <c r="T315" i="19"/>
  <c r="W315" i="19" s="1"/>
  <c r="T313" i="19"/>
  <c r="W313" i="19" s="1"/>
  <c r="T311" i="19"/>
  <c r="W311" i="19" s="1"/>
  <c r="T309" i="19"/>
  <c r="W309" i="19" s="1"/>
  <c r="T307" i="19"/>
  <c r="W307" i="19" s="1"/>
  <c r="T305" i="19"/>
  <c r="W305" i="19" s="1"/>
  <c r="T303" i="19"/>
  <c r="W303" i="19" s="1"/>
  <c r="R302" i="19"/>
  <c r="U302" i="19" s="1"/>
  <c r="R295" i="19"/>
  <c r="U295" i="19" s="1"/>
  <c r="R293" i="19"/>
  <c r="U293" i="19" s="1"/>
  <c r="R291" i="19"/>
  <c r="U291" i="19" s="1"/>
  <c r="R289" i="19"/>
  <c r="U289" i="19" s="1"/>
  <c r="R287" i="19"/>
  <c r="U287" i="19" s="1"/>
  <c r="R285" i="19"/>
  <c r="U285" i="19" s="1"/>
  <c r="T275" i="19"/>
  <c r="W275" i="19" s="1"/>
  <c r="T273" i="19"/>
  <c r="W273" i="19" s="1"/>
  <c r="T271" i="19"/>
  <c r="W271" i="19" s="1"/>
  <c r="T269" i="19"/>
  <c r="W269" i="19" s="1"/>
  <c r="T267" i="19"/>
  <c r="W267" i="19" s="1"/>
  <c r="T265" i="19"/>
  <c r="W265" i="19" s="1"/>
  <c r="T263" i="19"/>
  <c r="W263" i="19" s="1"/>
  <c r="T261" i="19"/>
  <c r="W261" i="19" s="1"/>
  <c r="R260" i="19"/>
  <c r="U260" i="19" s="1"/>
  <c r="R253" i="19"/>
  <c r="U253" i="19" s="1"/>
  <c r="R251" i="19"/>
  <c r="U251" i="19" s="1"/>
  <c r="R249" i="19"/>
  <c r="U249" i="19" s="1"/>
  <c r="R247" i="19"/>
  <c r="U247" i="19" s="1"/>
  <c r="R245" i="19"/>
  <c r="U245" i="19" s="1"/>
  <c r="R243" i="19"/>
  <c r="T233" i="19"/>
  <c r="W233" i="19" s="1"/>
  <c r="T231" i="19"/>
  <c r="W231" i="19" s="1"/>
  <c r="T229" i="19"/>
  <c r="W229" i="19" s="1"/>
  <c r="T227" i="19"/>
  <c r="W227" i="19" s="1"/>
  <c r="T225" i="19"/>
  <c r="W225" i="19" s="1"/>
  <c r="T223" i="19"/>
  <c r="W223" i="19" s="1"/>
  <c r="T221" i="19"/>
  <c r="W221" i="19" s="1"/>
  <c r="T219" i="19"/>
  <c r="W219" i="19" s="1"/>
  <c r="R218" i="19"/>
  <c r="R211" i="19"/>
  <c r="U211" i="19" s="1"/>
  <c r="R209" i="19"/>
  <c r="U209" i="19" s="1"/>
  <c r="R207" i="19"/>
  <c r="U207" i="19" s="1"/>
  <c r="R205" i="19"/>
  <c r="U205" i="19" s="1"/>
  <c r="R203" i="19"/>
  <c r="U203" i="19" s="1"/>
  <c r="R201" i="19"/>
  <c r="U201" i="19" s="1"/>
  <c r="T191" i="19"/>
  <c r="W191" i="19" s="1"/>
  <c r="T189" i="19"/>
  <c r="W189" i="19" s="1"/>
  <c r="T187" i="19"/>
  <c r="W187" i="19" s="1"/>
  <c r="T185" i="19"/>
  <c r="W185" i="19" s="1"/>
  <c r="T183" i="19"/>
  <c r="W183" i="19" s="1"/>
  <c r="T181" i="19"/>
  <c r="W181" i="19" s="1"/>
  <c r="T179" i="19"/>
  <c r="W179" i="19" s="1"/>
  <c r="T177" i="19"/>
  <c r="W177" i="19" s="1"/>
  <c r="R176" i="19"/>
  <c r="U176" i="19" s="1"/>
  <c r="R169" i="19"/>
  <c r="U169" i="19" s="1"/>
  <c r="R167" i="19"/>
  <c r="U167" i="19" s="1"/>
  <c r="R165" i="19"/>
  <c r="U165" i="19" s="1"/>
  <c r="R163" i="19"/>
  <c r="U163" i="19" s="1"/>
  <c r="R161" i="19"/>
  <c r="U161" i="19" s="1"/>
  <c r="R159" i="19"/>
  <c r="U159" i="19" s="1"/>
  <c r="T149" i="19"/>
  <c r="W149" i="19" s="1"/>
  <c r="T147" i="19"/>
  <c r="W147" i="19" s="1"/>
  <c r="T145" i="19"/>
  <c r="W145" i="19" s="1"/>
  <c r="T143" i="19"/>
  <c r="W143" i="19" s="1"/>
  <c r="T141" i="19"/>
  <c r="W141" i="19" s="1"/>
  <c r="T139" i="19"/>
  <c r="W139" i="19" s="1"/>
  <c r="T137" i="19"/>
  <c r="W137" i="19" s="1"/>
  <c r="T135" i="19"/>
  <c r="W135" i="19" s="1"/>
  <c r="R134" i="19"/>
  <c r="U134" i="19" s="1"/>
  <c r="T128" i="19"/>
  <c r="W128" i="19" s="1"/>
  <c r="R127" i="19"/>
  <c r="U127" i="19" s="1"/>
  <c r="T126" i="19"/>
  <c r="W126" i="19" s="1"/>
  <c r="R125" i="19"/>
  <c r="U125" i="19" s="1"/>
  <c r="T124" i="19"/>
  <c r="W124" i="19" s="1"/>
  <c r="R123" i="19"/>
  <c r="U123" i="19" s="1"/>
  <c r="T122" i="19"/>
  <c r="W122" i="19" s="1"/>
  <c r="Q133" i="19"/>
  <c r="T121" i="19"/>
  <c r="W121" i="19" s="1"/>
  <c r="R120" i="19"/>
  <c r="U120" i="19" s="1"/>
  <c r="R118" i="19"/>
  <c r="U118" i="19" s="1"/>
  <c r="R116" i="19"/>
  <c r="U116" i="19" s="1"/>
  <c r="R114" i="19"/>
  <c r="R107" i="19"/>
  <c r="U107" i="19" s="1"/>
  <c r="R105" i="19"/>
  <c r="U105" i="19" s="1"/>
  <c r="R103" i="19"/>
  <c r="U103" i="19" s="1"/>
  <c r="R101" i="19"/>
  <c r="U101" i="19" s="1"/>
  <c r="R99" i="19"/>
  <c r="U99" i="19" s="1"/>
  <c r="R97" i="19"/>
  <c r="U97" i="19" s="1"/>
  <c r="R95" i="19"/>
  <c r="U95" i="19" s="1"/>
  <c r="R93" i="19"/>
  <c r="U93" i="19" s="1"/>
  <c r="Q91" i="19"/>
  <c r="T85" i="19"/>
  <c r="W85" i="19" s="1"/>
  <c r="T83" i="19"/>
  <c r="W83" i="19" s="1"/>
  <c r="T81" i="19"/>
  <c r="W81" i="19" s="1"/>
  <c r="T79" i="19"/>
  <c r="W79" i="19" s="1"/>
  <c r="T77" i="19"/>
  <c r="W77" i="19" s="1"/>
  <c r="T75" i="19"/>
  <c r="W75" i="19" s="1"/>
  <c r="T73" i="19"/>
  <c r="R65" i="19"/>
  <c r="U65" i="19" s="1"/>
  <c r="R63" i="19"/>
  <c r="U63" i="19" s="1"/>
  <c r="R61" i="19"/>
  <c r="U61" i="19" s="1"/>
  <c r="R59" i="19"/>
  <c r="U59" i="19" s="1"/>
  <c r="R57" i="19"/>
  <c r="U57" i="19" s="1"/>
  <c r="R55" i="19"/>
  <c r="U55" i="19" s="1"/>
  <c r="R53" i="19"/>
  <c r="U53" i="19" s="1"/>
  <c r="R51" i="19"/>
  <c r="Q49" i="19"/>
  <c r="T43" i="19"/>
  <c r="W43" i="19" s="1"/>
  <c r="T41" i="19"/>
  <c r="W41" i="19" s="1"/>
  <c r="T39" i="19"/>
  <c r="W39" i="19" s="1"/>
  <c r="T37" i="19"/>
  <c r="W37" i="19" s="1"/>
  <c r="T35" i="19"/>
  <c r="W35" i="19" s="1"/>
  <c r="T33" i="19"/>
  <c r="W33" i="19" s="1"/>
  <c r="T31" i="19"/>
  <c r="R23" i="19"/>
  <c r="U23" i="19" s="1"/>
  <c r="R21" i="19"/>
  <c r="U21" i="19" s="1"/>
  <c r="R19" i="19"/>
  <c r="U19" i="19" s="1"/>
  <c r="R17" i="19"/>
  <c r="U17" i="19" s="1"/>
  <c r="R15" i="19"/>
  <c r="U15" i="19" s="1"/>
  <c r="R13" i="19"/>
  <c r="U13" i="19" s="1"/>
  <c r="R11" i="19"/>
  <c r="U11" i="19" s="1"/>
  <c r="R9" i="19"/>
  <c r="U9" i="19" s="1"/>
  <c r="Q427" i="20"/>
  <c r="T421" i="20"/>
  <c r="W421" i="20" s="1"/>
  <c r="T419" i="20"/>
  <c r="W419" i="20" s="1"/>
  <c r="T417" i="20"/>
  <c r="W417" i="20" s="1"/>
  <c r="T415" i="20"/>
  <c r="W415" i="20" s="1"/>
  <c r="T413" i="20"/>
  <c r="W413" i="20" s="1"/>
  <c r="T411" i="20"/>
  <c r="W411" i="20" s="1"/>
  <c r="T409" i="20"/>
  <c r="W409" i="20" s="1"/>
  <c r="T379" i="20"/>
  <c r="W379" i="20" s="1"/>
  <c r="T377" i="20"/>
  <c r="W377" i="20" s="1"/>
  <c r="T375" i="20"/>
  <c r="W375" i="20" s="1"/>
  <c r="T373" i="20"/>
  <c r="W373" i="20" s="1"/>
  <c r="T371" i="20"/>
  <c r="W371" i="20" s="1"/>
  <c r="T369" i="20"/>
  <c r="W369" i="20" s="1"/>
  <c r="O343" i="20"/>
  <c r="R317" i="20"/>
  <c r="U317" i="20" s="1"/>
  <c r="R272" i="20"/>
  <c r="U272" i="20" s="1"/>
  <c r="R270" i="20"/>
  <c r="U270" i="20" s="1"/>
  <c r="R268" i="20"/>
  <c r="U268" i="20" s="1"/>
  <c r="R266" i="20"/>
  <c r="U266" i="20" s="1"/>
  <c r="R264" i="20"/>
  <c r="U264" i="20" s="1"/>
  <c r="R262" i="20"/>
  <c r="U262" i="20" s="1"/>
  <c r="O280" i="20"/>
  <c r="O238" i="20"/>
  <c r="Q238" i="20"/>
  <c r="T365" i="20"/>
  <c r="W365" i="20" s="1"/>
  <c r="R366" i="20"/>
  <c r="U366" i="20" s="1"/>
  <c r="R368" i="20"/>
  <c r="U368" i="20" s="1"/>
  <c r="R370" i="20"/>
  <c r="U370" i="20" s="1"/>
  <c r="R372" i="20"/>
  <c r="U372" i="20" s="1"/>
  <c r="R374" i="20"/>
  <c r="U374" i="20" s="1"/>
  <c r="R376" i="20"/>
  <c r="U376" i="20" s="1"/>
  <c r="R378" i="20"/>
  <c r="U378" i="20" s="1"/>
  <c r="R380" i="20"/>
  <c r="U380" i="20" s="1"/>
  <c r="R344" i="20"/>
  <c r="U344" i="20" s="1"/>
  <c r="T346" i="20"/>
  <c r="W346" i="20" s="1"/>
  <c r="T348" i="20"/>
  <c r="W348" i="20" s="1"/>
  <c r="T350" i="20"/>
  <c r="W350" i="20" s="1"/>
  <c r="T352" i="20"/>
  <c r="W352" i="20" s="1"/>
  <c r="T354" i="20"/>
  <c r="W354" i="20" s="1"/>
  <c r="T356" i="20"/>
  <c r="W356" i="20" s="1"/>
  <c r="T358" i="20"/>
  <c r="W358" i="20" s="1"/>
  <c r="Q364" i="20"/>
  <c r="T314" i="20"/>
  <c r="T316" i="20"/>
  <c r="W316" i="20" s="1"/>
  <c r="T282" i="20"/>
  <c r="W282" i="20" s="1"/>
  <c r="T284" i="20"/>
  <c r="W284" i="20" s="1"/>
  <c r="T286" i="20"/>
  <c r="W286" i="20" s="1"/>
  <c r="T288" i="20"/>
  <c r="W288" i="20" s="1"/>
  <c r="T290" i="20"/>
  <c r="W290" i="20" s="1"/>
  <c r="T292" i="20"/>
  <c r="W292" i="20" s="1"/>
  <c r="T294" i="20"/>
  <c r="W294" i="20" s="1"/>
  <c r="T296" i="20"/>
  <c r="W296" i="20" s="1"/>
  <c r="T239" i="20"/>
  <c r="W239" i="20" s="1"/>
  <c r="R239" i="20"/>
  <c r="U239" i="20" s="1"/>
  <c r="T240" i="20"/>
  <c r="W240" i="20" s="1"/>
  <c r="T242" i="20"/>
  <c r="W242" i="20" s="1"/>
  <c r="T244" i="20"/>
  <c r="W244" i="20" s="1"/>
  <c r="T246" i="20"/>
  <c r="W246" i="20" s="1"/>
  <c r="T248" i="20"/>
  <c r="W248" i="20" s="1"/>
  <c r="T250" i="20"/>
  <c r="W250" i="20" s="1"/>
  <c r="T252" i="20"/>
  <c r="W252" i="20" s="1"/>
  <c r="T254" i="20"/>
  <c r="W254" i="20" s="1"/>
  <c r="T55" i="17"/>
  <c r="W55" i="17" s="1"/>
  <c r="T53" i="17"/>
  <c r="W53" i="17" s="1"/>
  <c r="R41" i="17"/>
  <c r="U41" i="17" s="1"/>
  <c r="R39" i="17"/>
  <c r="U39" i="17" s="1"/>
  <c r="R37" i="17"/>
  <c r="U37" i="17" s="1"/>
  <c r="R35" i="17"/>
  <c r="U35" i="17" s="1"/>
  <c r="R33" i="17"/>
  <c r="U33" i="17" s="1"/>
  <c r="R31" i="17"/>
  <c r="U31" i="17" s="1"/>
  <c r="R29" i="17"/>
  <c r="U29" i="17" s="1"/>
  <c r="R22" i="17"/>
  <c r="U22" i="17" s="1"/>
  <c r="R20" i="17"/>
  <c r="U20" i="17" s="1"/>
  <c r="R18" i="17"/>
  <c r="U18" i="17" s="1"/>
  <c r="R16" i="17"/>
  <c r="U16" i="17" s="1"/>
  <c r="R14" i="17"/>
  <c r="U14" i="17" s="1"/>
  <c r="R12" i="17"/>
  <c r="U12" i="17" s="1"/>
  <c r="T422" i="18"/>
  <c r="W422" i="18" s="1"/>
  <c r="T420" i="18"/>
  <c r="W420" i="18" s="1"/>
  <c r="T418" i="18"/>
  <c r="W418" i="18" s="1"/>
  <c r="T416" i="18"/>
  <c r="W416" i="18" s="1"/>
  <c r="T414" i="18"/>
  <c r="W414" i="18" s="1"/>
  <c r="T412" i="18"/>
  <c r="W412" i="18" s="1"/>
  <c r="T410" i="18"/>
  <c r="W410" i="18" s="1"/>
  <c r="T408" i="18"/>
  <c r="W408" i="18" s="1"/>
  <c r="R407" i="18"/>
  <c r="U407" i="18" s="1"/>
  <c r="R400" i="18"/>
  <c r="U400" i="18" s="1"/>
  <c r="R398" i="18"/>
  <c r="U398" i="18" s="1"/>
  <c r="R396" i="18"/>
  <c r="U396" i="18" s="1"/>
  <c r="R394" i="18"/>
  <c r="U394" i="18" s="1"/>
  <c r="R392" i="18"/>
  <c r="U392" i="18" s="1"/>
  <c r="R390" i="18"/>
  <c r="U390" i="18" s="1"/>
  <c r="T380" i="18"/>
  <c r="W380" i="18" s="1"/>
  <c r="T378" i="18"/>
  <c r="W378" i="18" s="1"/>
  <c r="T376" i="18"/>
  <c r="W376" i="18" s="1"/>
  <c r="T374" i="18"/>
  <c r="W374" i="18" s="1"/>
  <c r="T372" i="18"/>
  <c r="W372" i="18" s="1"/>
  <c r="T370" i="18"/>
  <c r="W370" i="18" s="1"/>
  <c r="T368" i="18"/>
  <c r="W368" i="18" s="1"/>
  <c r="T366" i="18"/>
  <c r="W366" i="18" s="1"/>
  <c r="R365" i="18"/>
  <c r="R358" i="18"/>
  <c r="U358" i="18" s="1"/>
  <c r="R356" i="18"/>
  <c r="U356" i="18" s="1"/>
  <c r="R354" i="18"/>
  <c r="U354" i="18" s="1"/>
  <c r="R352" i="18"/>
  <c r="U352" i="18" s="1"/>
  <c r="R350" i="18"/>
  <c r="U350" i="18" s="1"/>
  <c r="R348" i="18"/>
  <c r="U348" i="18" s="1"/>
  <c r="T338" i="18"/>
  <c r="W338" i="18" s="1"/>
  <c r="T336" i="18"/>
  <c r="W336" i="18" s="1"/>
  <c r="T334" i="18"/>
  <c r="W334" i="18" s="1"/>
  <c r="T332" i="18"/>
  <c r="W332" i="18" s="1"/>
  <c r="T330" i="18"/>
  <c r="W330" i="18" s="1"/>
  <c r="T328" i="18"/>
  <c r="W328" i="18" s="1"/>
  <c r="T326" i="18"/>
  <c r="W326" i="18" s="1"/>
  <c r="T324" i="18"/>
  <c r="W324" i="18" s="1"/>
  <c r="R323" i="18"/>
  <c r="U323" i="18" s="1"/>
  <c r="R316" i="18"/>
  <c r="U316" i="18" s="1"/>
  <c r="R314" i="18"/>
  <c r="U314" i="18" s="1"/>
  <c r="R312" i="18"/>
  <c r="U312" i="18" s="1"/>
  <c r="R310" i="18"/>
  <c r="U310" i="18" s="1"/>
  <c r="R308" i="18"/>
  <c r="U308" i="18" s="1"/>
  <c r="R306" i="18"/>
  <c r="U306" i="18" s="1"/>
  <c r="T296" i="18"/>
  <c r="W296" i="18" s="1"/>
  <c r="T294" i="18"/>
  <c r="W294" i="18" s="1"/>
  <c r="T292" i="18"/>
  <c r="W292" i="18" s="1"/>
  <c r="T290" i="18"/>
  <c r="W290" i="18" s="1"/>
  <c r="T288" i="18"/>
  <c r="W288" i="18" s="1"/>
  <c r="T286" i="18"/>
  <c r="W286" i="18" s="1"/>
  <c r="T284" i="18"/>
  <c r="W284" i="18" s="1"/>
  <c r="T282" i="18"/>
  <c r="W282" i="18" s="1"/>
  <c r="R281" i="18"/>
  <c r="U281" i="18" s="1"/>
  <c r="R274" i="18"/>
  <c r="U274" i="18" s="1"/>
  <c r="R272" i="18"/>
  <c r="U272" i="18" s="1"/>
  <c r="R270" i="18"/>
  <c r="U270" i="18" s="1"/>
  <c r="R268" i="18"/>
  <c r="U268" i="18" s="1"/>
  <c r="R266" i="18"/>
  <c r="U266" i="18" s="1"/>
  <c r="R264" i="18"/>
  <c r="T254" i="18"/>
  <c r="W254" i="18" s="1"/>
  <c r="T252" i="18"/>
  <c r="W252" i="18" s="1"/>
  <c r="T250" i="18"/>
  <c r="W250" i="18" s="1"/>
  <c r="T248" i="18"/>
  <c r="W248" i="18" s="1"/>
  <c r="T246" i="18"/>
  <c r="W246" i="18" s="1"/>
  <c r="T244" i="18"/>
  <c r="W244" i="18" s="1"/>
  <c r="T242" i="18"/>
  <c r="W242" i="18" s="1"/>
  <c r="T240" i="18"/>
  <c r="W240" i="18" s="1"/>
  <c r="R239" i="18"/>
  <c r="U239" i="18" s="1"/>
  <c r="R232" i="18"/>
  <c r="U232" i="18" s="1"/>
  <c r="R230" i="18"/>
  <c r="U230" i="18" s="1"/>
  <c r="R228" i="18"/>
  <c r="U228" i="18" s="1"/>
  <c r="R226" i="18"/>
  <c r="U226" i="18" s="1"/>
  <c r="R224" i="18"/>
  <c r="U224" i="18" s="1"/>
  <c r="R222" i="18"/>
  <c r="U222" i="18" s="1"/>
  <c r="T212" i="18"/>
  <c r="W212" i="18" s="1"/>
  <c r="T210" i="18"/>
  <c r="W210" i="18" s="1"/>
  <c r="T208" i="18"/>
  <c r="W208" i="18" s="1"/>
  <c r="T206" i="18"/>
  <c r="W206" i="18" s="1"/>
  <c r="T204" i="18"/>
  <c r="W204" i="18" s="1"/>
  <c r="T202" i="18"/>
  <c r="W202" i="18" s="1"/>
  <c r="T200" i="18"/>
  <c r="W200" i="18" s="1"/>
  <c r="T198" i="18"/>
  <c r="W198" i="18" s="1"/>
  <c r="R197" i="18"/>
  <c r="U197" i="18" s="1"/>
  <c r="R190" i="18"/>
  <c r="U190" i="18" s="1"/>
  <c r="R188" i="18"/>
  <c r="U188" i="18" s="1"/>
  <c r="R186" i="18"/>
  <c r="U186" i="18" s="1"/>
  <c r="R184" i="18"/>
  <c r="U184" i="18" s="1"/>
  <c r="R182" i="18"/>
  <c r="U182" i="18" s="1"/>
  <c r="R180" i="18"/>
  <c r="U180" i="18" s="1"/>
  <c r="O364" i="20"/>
  <c r="Q322" i="20"/>
  <c r="Q217" i="20"/>
  <c r="T197" i="21"/>
  <c r="R197" i="21"/>
  <c r="U197" i="21" s="1"/>
  <c r="R199" i="21"/>
  <c r="U199" i="21" s="1"/>
  <c r="T200" i="21"/>
  <c r="W200" i="21" s="1"/>
  <c r="T202" i="21"/>
  <c r="W202" i="21" s="1"/>
  <c r="T204" i="21"/>
  <c r="W204" i="21" s="1"/>
  <c r="T206" i="21"/>
  <c r="W206" i="21" s="1"/>
  <c r="T208" i="21"/>
  <c r="W208" i="21" s="1"/>
  <c r="R210" i="21"/>
  <c r="U210" i="21" s="1"/>
  <c r="T211" i="21"/>
  <c r="W211" i="21" s="1"/>
  <c r="R212" i="21"/>
  <c r="U212" i="21" s="1"/>
  <c r="T155" i="21"/>
  <c r="W155" i="21" s="1"/>
  <c r="R155" i="21"/>
  <c r="U155" i="21" s="1"/>
  <c r="R157" i="21"/>
  <c r="U157" i="21" s="1"/>
  <c r="R159" i="21"/>
  <c r="U159" i="21" s="1"/>
  <c r="R161" i="21"/>
  <c r="U161" i="21" s="1"/>
  <c r="T162" i="21"/>
  <c r="W162" i="21" s="1"/>
  <c r="T164" i="21"/>
  <c r="W164" i="21" s="1"/>
  <c r="R166" i="21"/>
  <c r="U166" i="21" s="1"/>
  <c r="T167" i="21"/>
  <c r="W167" i="21" s="1"/>
  <c r="R168" i="21"/>
  <c r="U168" i="21" s="1"/>
  <c r="T169" i="21"/>
  <c r="W169" i="21" s="1"/>
  <c r="R170" i="21"/>
  <c r="U170" i="21" s="1"/>
  <c r="T212" i="20"/>
  <c r="W212" i="20" s="1"/>
  <c r="T210" i="20"/>
  <c r="W210" i="20" s="1"/>
  <c r="T208" i="20"/>
  <c r="W208" i="20" s="1"/>
  <c r="T206" i="20"/>
  <c r="W206" i="20" s="1"/>
  <c r="T204" i="20"/>
  <c r="W204" i="20" s="1"/>
  <c r="T202" i="20"/>
  <c r="W202" i="20" s="1"/>
  <c r="T200" i="20"/>
  <c r="W200" i="20" s="1"/>
  <c r="T198" i="20"/>
  <c r="W198" i="20" s="1"/>
  <c r="R197" i="20"/>
  <c r="U197" i="20" s="1"/>
  <c r="R190" i="20"/>
  <c r="U190" i="20" s="1"/>
  <c r="R188" i="20"/>
  <c r="U188" i="20" s="1"/>
  <c r="R186" i="20"/>
  <c r="U186" i="20" s="1"/>
  <c r="R184" i="20"/>
  <c r="U184" i="20" s="1"/>
  <c r="R182" i="20"/>
  <c r="U182" i="20" s="1"/>
  <c r="R180" i="20"/>
  <c r="U180" i="20" s="1"/>
  <c r="T170" i="20"/>
  <c r="W170" i="20" s="1"/>
  <c r="T168" i="20"/>
  <c r="W168" i="20" s="1"/>
  <c r="T166" i="20"/>
  <c r="W166" i="20" s="1"/>
  <c r="T164" i="20"/>
  <c r="W164" i="20" s="1"/>
  <c r="T162" i="20"/>
  <c r="W162" i="20" s="1"/>
  <c r="T160" i="20"/>
  <c r="W160" i="20" s="1"/>
  <c r="T158" i="20"/>
  <c r="W158" i="20" s="1"/>
  <c r="T156" i="20"/>
  <c r="W156" i="20" s="1"/>
  <c r="R155" i="20"/>
  <c r="U155" i="20" s="1"/>
  <c r="R148" i="20"/>
  <c r="U148" i="20" s="1"/>
  <c r="R146" i="20"/>
  <c r="U146" i="20" s="1"/>
  <c r="R144" i="20"/>
  <c r="U144" i="20" s="1"/>
  <c r="R142" i="20"/>
  <c r="U142" i="20" s="1"/>
  <c r="R140" i="20"/>
  <c r="U140" i="20" s="1"/>
  <c r="R138" i="20"/>
  <c r="U138" i="20" s="1"/>
  <c r="T128" i="20"/>
  <c r="W128" i="20" s="1"/>
  <c r="T126" i="20"/>
  <c r="W126" i="20" s="1"/>
  <c r="T124" i="20"/>
  <c r="W124" i="20" s="1"/>
  <c r="T122" i="20"/>
  <c r="W122" i="20" s="1"/>
  <c r="T120" i="20"/>
  <c r="W120" i="20" s="1"/>
  <c r="T118" i="20"/>
  <c r="W118" i="20" s="1"/>
  <c r="T116" i="20"/>
  <c r="W116" i="20" s="1"/>
  <c r="T114" i="20"/>
  <c r="W114" i="20" s="1"/>
  <c r="R113" i="20"/>
  <c r="U113" i="20" s="1"/>
  <c r="R106" i="20"/>
  <c r="U106" i="20" s="1"/>
  <c r="R104" i="20"/>
  <c r="U104" i="20" s="1"/>
  <c r="R102" i="20"/>
  <c r="U102" i="20" s="1"/>
  <c r="R100" i="20"/>
  <c r="U100" i="20" s="1"/>
  <c r="R98" i="20"/>
  <c r="U98" i="20" s="1"/>
  <c r="R96" i="20"/>
  <c r="U96" i="20" s="1"/>
  <c r="T86" i="20"/>
  <c r="W86" i="20" s="1"/>
  <c r="T84" i="20"/>
  <c r="W84" i="20" s="1"/>
  <c r="T82" i="20"/>
  <c r="W82" i="20" s="1"/>
  <c r="T80" i="20"/>
  <c r="W80" i="20" s="1"/>
  <c r="T78" i="20"/>
  <c r="W78" i="20" s="1"/>
  <c r="T76" i="20"/>
  <c r="W76" i="20" s="1"/>
  <c r="T74" i="20"/>
  <c r="W74" i="20" s="1"/>
  <c r="T72" i="20"/>
  <c r="W72" i="20" s="1"/>
  <c r="R71" i="20"/>
  <c r="U71" i="20" s="1"/>
  <c r="R64" i="20"/>
  <c r="U64" i="20" s="1"/>
  <c r="R62" i="20"/>
  <c r="U62" i="20" s="1"/>
  <c r="R60" i="20"/>
  <c r="U60" i="20" s="1"/>
  <c r="R58" i="20"/>
  <c r="U58" i="20" s="1"/>
  <c r="R56" i="20"/>
  <c r="U56" i="20" s="1"/>
  <c r="R54" i="20"/>
  <c r="T44" i="20"/>
  <c r="W44" i="20" s="1"/>
  <c r="T42" i="20"/>
  <c r="W42" i="20" s="1"/>
  <c r="T40" i="20"/>
  <c r="W40" i="20" s="1"/>
  <c r="T38" i="20"/>
  <c r="W38" i="20" s="1"/>
  <c r="T36" i="20"/>
  <c r="W36" i="20" s="1"/>
  <c r="T34" i="20"/>
  <c r="W34" i="20" s="1"/>
  <c r="T32" i="20"/>
  <c r="W32" i="20" s="1"/>
  <c r="T30" i="20"/>
  <c r="W30" i="20" s="1"/>
  <c r="R29" i="20"/>
  <c r="U29" i="20" s="1"/>
  <c r="R22" i="20"/>
  <c r="U22" i="20" s="1"/>
  <c r="R20" i="20"/>
  <c r="U20" i="20" s="1"/>
  <c r="R18" i="20"/>
  <c r="U18" i="20" s="1"/>
  <c r="R16" i="20"/>
  <c r="U16" i="20" s="1"/>
  <c r="R14" i="20"/>
  <c r="U14" i="20" s="1"/>
  <c r="R12" i="20"/>
  <c r="U12" i="20" s="1"/>
  <c r="T422" i="21"/>
  <c r="W422" i="21" s="1"/>
  <c r="T420" i="21"/>
  <c r="W420" i="21" s="1"/>
  <c r="T418" i="21"/>
  <c r="W418" i="21" s="1"/>
  <c r="T416" i="21"/>
  <c r="W416" i="21" s="1"/>
  <c r="T414" i="21"/>
  <c r="W414" i="21" s="1"/>
  <c r="T412" i="21"/>
  <c r="W412" i="21" s="1"/>
  <c r="T410" i="21"/>
  <c r="W410" i="21" s="1"/>
  <c r="T408" i="21"/>
  <c r="W408" i="21" s="1"/>
  <c r="R407" i="21"/>
  <c r="U407" i="21" s="1"/>
  <c r="R400" i="21"/>
  <c r="U400" i="21" s="1"/>
  <c r="R398" i="21"/>
  <c r="U398" i="21" s="1"/>
  <c r="R396" i="21"/>
  <c r="U396" i="21" s="1"/>
  <c r="R394" i="21"/>
  <c r="U394" i="21" s="1"/>
  <c r="R392" i="21"/>
  <c r="U392" i="21" s="1"/>
  <c r="R390" i="21"/>
  <c r="U390" i="21" s="1"/>
  <c r="T380" i="21"/>
  <c r="W380" i="21" s="1"/>
  <c r="T378" i="21"/>
  <c r="W378" i="21" s="1"/>
  <c r="T376" i="21"/>
  <c r="W376" i="21" s="1"/>
  <c r="T374" i="21"/>
  <c r="W374" i="21" s="1"/>
  <c r="T372" i="21"/>
  <c r="W372" i="21" s="1"/>
  <c r="T370" i="21"/>
  <c r="W370" i="21" s="1"/>
  <c r="T368" i="21"/>
  <c r="W368" i="21" s="1"/>
  <c r="T366" i="21"/>
  <c r="W366" i="21" s="1"/>
  <c r="R365" i="21"/>
  <c r="U365" i="21" s="1"/>
  <c r="R358" i="21"/>
  <c r="U358" i="21" s="1"/>
  <c r="R356" i="21"/>
  <c r="U356" i="21" s="1"/>
  <c r="R354" i="21"/>
  <c r="U354" i="21" s="1"/>
  <c r="R352" i="21"/>
  <c r="U352" i="21" s="1"/>
  <c r="R350" i="21"/>
  <c r="U350" i="21" s="1"/>
  <c r="R348" i="21"/>
  <c r="U348" i="21" s="1"/>
  <c r="T338" i="21"/>
  <c r="W338" i="21" s="1"/>
  <c r="T336" i="21"/>
  <c r="W336" i="21" s="1"/>
  <c r="T334" i="21"/>
  <c r="W334" i="21" s="1"/>
  <c r="T332" i="21"/>
  <c r="W332" i="21" s="1"/>
  <c r="T330" i="21"/>
  <c r="W330" i="21" s="1"/>
  <c r="T328" i="21"/>
  <c r="W328" i="21" s="1"/>
  <c r="T326" i="21"/>
  <c r="W326" i="21" s="1"/>
  <c r="T324" i="21"/>
  <c r="W324" i="21" s="1"/>
  <c r="R323" i="21"/>
  <c r="U323" i="21" s="1"/>
  <c r="R316" i="21"/>
  <c r="U316" i="21" s="1"/>
  <c r="R314" i="21"/>
  <c r="U314" i="21" s="1"/>
  <c r="R312" i="21"/>
  <c r="U312" i="21" s="1"/>
  <c r="R310" i="21"/>
  <c r="U310" i="21" s="1"/>
  <c r="R308" i="21"/>
  <c r="U308" i="21" s="1"/>
  <c r="R306" i="21"/>
  <c r="U306" i="21" s="1"/>
  <c r="T296" i="21"/>
  <c r="W296" i="21" s="1"/>
  <c r="T294" i="21"/>
  <c r="W294" i="21" s="1"/>
  <c r="T292" i="21"/>
  <c r="W292" i="21" s="1"/>
  <c r="T290" i="21"/>
  <c r="W290" i="21" s="1"/>
  <c r="T288" i="21"/>
  <c r="W288" i="21" s="1"/>
  <c r="T286" i="21"/>
  <c r="W286" i="21" s="1"/>
  <c r="T284" i="21"/>
  <c r="W284" i="21" s="1"/>
  <c r="T282" i="21"/>
  <c r="W282" i="21" s="1"/>
  <c r="R281" i="21"/>
  <c r="U281" i="21" s="1"/>
  <c r="R274" i="21"/>
  <c r="U274" i="21" s="1"/>
  <c r="R272" i="21"/>
  <c r="U272" i="21" s="1"/>
  <c r="R270" i="21"/>
  <c r="U270" i="21" s="1"/>
  <c r="R268" i="21"/>
  <c r="U268" i="21" s="1"/>
  <c r="R266" i="21"/>
  <c r="U266" i="21" s="1"/>
  <c r="R264" i="21"/>
  <c r="U264" i="21" s="1"/>
  <c r="R254" i="21"/>
  <c r="U254" i="21" s="1"/>
  <c r="T252" i="21"/>
  <c r="W252" i="21" s="1"/>
  <c r="T250" i="21"/>
  <c r="W250" i="21" s="1"/>
  <c r="T248" i="21"/>
  <c r="W248" i="21" s="1"/>
  <c r="T246" i="21"/>
  <c r="W246" i="21" s="1"/>
  <c r="T244" i="21"/>
  <c r="W244" i="21" s="1"/>
  <c r="T242" i="21"/>
  <c r="W242" i="21" s="1"/>
  <c r="T240" i="21"/>
  <c r="W240" i="21" s="1"/>
  <c r="R239" i="21"/>
  <c r="U239" i="21" s="1"/>
  <c r="O238" i="21"/>
  <c r="T233" i="21"/>
  <c r="R232" i="21"/>
  <c r="U232" i="21" s="1"/>
  <c r="R230" i="21"/>
  <c r="U230" i="21" s="1"/>
  <c r="R228" i="21"/>
  <c r="U228" i="21" s="1"/>
  <c r="R226" i="21"/>
  <c r="U226" i="21" s="1"/>
  <c r="R224" i="21"/>
  <c r="U224" i="21" s="1"/>
  <c r="R222" i="21"/>
  <c r="T212" i="21"/>
  <c r="W212" i="21" s="1"/>
  <c r="T210" i="21"/>
  <c r="W210" i="21" s="1"/>
  <c r="R209" i="21"/>
  <c r="U209" i="21" s="1"/>
  <c r="R207" i="21"/>
  <c r="U207" i="21" s="1"/>
  <c r="R205" i="21"/>
  <c r="U205" i="21" s="1"/>
  <c r="R203" i="21"/>
  <c r="U203" i="21" s="1"/>
  <c r="R191" i="21"/>
  <c r="U191" i="21" s="1"/>
  <c r="T170" i="21"/>
  <c r="W170" i="21" s="1"/>
  <c r="T168" i="21"/>
  <c r="W168" i="21" s="1"/>
  <c r="T166" i="21"/>
  <c r="W166" i="21" s="1"/>
  <c r="R165" i="21"/>
  <c r="U165" i="21" s="1"/>
  <c r="O196" i="21"/>
  <c r="T177" i="21"/>
  <c r="W177" i="21" s="1"/>
  <c r="T179" i="21"/>
  <c r="W179" i="21" s="1"/>
  <c r="R182" i="21"/>
  <c r="U182" i="21" s="1"/>
  <c r="R184" i="21"/>
  <c r="U184" i="21" s="1"/>
  <c r="R186" i="21"/>
  <c r="U186" i="21" s="1"/>
  <c r="R188" i="21"/>
  <c r="U188" i="21" s="1"/>
  <c r="T189" i="21"/>
  <c r="W189" i="21" s="1"/>
  <c r="R190" i="21"/>
  <c r="U190" i="21" s="1"/>
  <c r="T191" i="21"/>
  <c r="W191" i="21" s="1"/>
  <c r="R282" i="22"/>
  <c r="U282" i="22" s="1"/>
  <c r="R284" i="22"/>
  <c r="U284" i="22" s="1"/>
  <c r="R286" i="22"/>
  <c r="U286" i="22" s="1"/>
  <c r="R288" i="22"/>
  <c r="U288" i="22" s="1"/>
  <c r="R290" i="22"/>
  <c r="U290" i="22" s="1"/>
  <c r="R292" i="22"/>
  <c r="U292" i="22" s="1"/>
  <c r="T293" i="22"/>
  <c r="W293" i="22" s="1"/>
  <c r="R294" i="22"/>
  <c r="U294" i="22" s="1"/>
  <c r="T260" i="22"/>
  <c r="W260" i="22" s="1"/>
  <c r="T262" i="22"/>
  <c r="W262" i="22" s="1"/>
  <c r="R263" i="22"/>
  <c r="U263" i="22" s="1"/>
  <c r="T264" i="22"/>
  <c r="W264" i="22" s="1"/>
  <c r="R265" i="22"/>
  <c r="U265" i="22" s="1"/>
  <c r="T266" i="22"/>
  <c r="W266" i="22" s="1"/>
  <c r="R267" i="22"/>
  <c r="U267" i="22" s="1"/>
  <c r="O259" i="22"/>
  <c r="O154" i="21"/>
  <c r="T149" i="21"/>
  <c r="W149" i="21" s="1"/>
  <c r="R148" i="21"/>
  <c r="U148" i="21" s="1"/>
  <c r="T147" i="21"/>
  <c r="W147" i="21" s="1"/>
  <c r="R146" i="21"/>
  <c r="U146" i="21" s="1"/>
  <c r="T145" i="21"/>
  <c r="W145" i="21" s="1"/>
  <c r="T144" i="21"/>
  <c r="W144" i="21" s="1"/>
  <c r="R143" i="21"/>
  <c r="U143" i="21" s="1"/>
  <c r="T142" i="21"/>
  <c r="W142" i="21" s="1"/>
  <c r="R141" i="21"/>
  <c r="U141" i="21" s="1"/>
  <c r="T140" i="21"/>
  <c r="W140" i="21" s="1"/>
  <c r="R139" i="21"/>
  <c r="U139" i="21" s="1"/>
  <c r="T137" i="21"/>
  <c r="W137" i="21" s="1"/>
  <c r="R128" i="21"/>
  <c r="U128" i="21" s="1"/>
  <c r="T127" i="21"/>
  <c r="W127" i="21" s="1"/>
  <c r="R126" i="21"/>
  <c r="U126" i="21" s="1"/>
  <c r="R125" i="21"/>
  <c r="U125" i="21" s="1"/>
  <c r="T124" i="21"/>
  <c r="W124" i="21" s="1"/>
  <c r="R123" i="21"/>
  <c r="U123" i="21" s="1"/>
  <c r="T122" i="21"/>
  <c r="W122" i="21" s="1"/>
  <c r="R121" i="21"/>
  <c r="U121" i="21" s="1"/>
  <c r="T120" i="21"/>
  <c r="W120" i="21" s="1"/>
  <c r="R119" i="21"/>
  <c r="U119" i="21" s="1"/>
  <c r="T118" i="21"/>
  <c r="W118" i="21" s="1"/>
  <c r="R117" i="21"/>
  <c r="U117" i="21" s="1"/>
  <c r="R115" i="21"/>
  <c r="U115" i="21" s="1"/>
  <c r="R113" i="21"/>
  <c r="O112" i="21"/>
  <c r="T107" i="21"/>
  <c r="W107" i="21" s="1"/>
  <c r="R106" i="21"/>
  <c r="U106" i="21" s="1"/>
  <c r="T105" i="21"/>
  <c r="W105" i="21" s="1"/>
  <c r="T104" i="21"/>
  <c r="W104" i="21" s="1"/>
  <c r="R103" i="21"/>
  <c r="U103" i="21" s="1"/>
  <c r="T102" i="21"/>
  <c r="W102" i="21" s="1"/>
  <c r="R101" i="21"/>
  <c r="U101" i="21" s="1"/>
  <c r="T100" i="21"/>
  <c r="W100" i="21" s="1"/>
  <c r="R99" i="21"/>
  <c r="U99" i="21" s="1"/>
  <c r="T98" i="21"/>
  <c r="W98" i="21" s="1"/>
  <c r="R97" i="21"/>
  <c r="U97" i="21" s="1"/>
  <c r="T96" i="21"/>
  <c r="W96" i="21" s="1"/>
  <c r="T95" i="21"/>
  <c r="W95" i="21" s="1"/>
  <c r="R86" i="21"/>
  <c r="U86" i="21" s="1"/>
  <c r="T85" i="21"/>
  <c r="W85" i="21" s="1"/>
  <c r="R84" i="21"/>
  <c r="U84" i="21" s="1"/>
  <c r="R83" i="21"/>
  <c r="U83" i="21" s="1"/>
  <c r="T82" i="21"/>
  <c r="W82" i="21" s="1"/>
  <c r="R81" i="21"/>
  <c r="U81" i="21" s="1"/>
  <c r="T80" i="21"/>
  <c r="W80" i="21" s="1"/>
  <c r="R79" i="21"/>
  <c r="U79" i="21" s="1"/>
  <c r="T78" i="21"/>
  <c r="W78" i="21" s="1"/>
  <c r="R77" i="21"/>
  <c r="U77" i="21" s="1"/>
  <c r="T76" i="21"/>
  <c r="W76" i="21" s="1"/>
  <c r="R75" i="21"/>
  <c r="U75" i="21" s="1"/>
  <c r="R73" i="21"/>
  <c r="U73" i="21" s="1"/>
  <c r="R71" i="21"/>
  <c r="U71" i="21" s="1"/>
  <c r="O70" i="21"/>
  <c r="T65" i="21"/>
  <c r="W65" i="21" s="1"/>
  <c r="R64" i="21"/>
  <c r="U64" i="21" s="1"/>
  <c r="T63" i="21"/>
  <c r="W63" i="21" s="1"/>
  <c r="T62" i="21"/>
  <c r="W62" i="21" s="1"/>
  <c r="R61" i="21"/>
  <c r="U61" i="21" s="1"/>
  <c r="T60" i="21"/>
  <c r="W60" i="21" s="1"/>
  <c r="R59" i="21"/>
  <c r="U59" i="21" s="1"/>
  <c r="T58" i="21"/>
  <c r="W58" i="21" s="1"/>
  <c r="R57" i="21"/>
  <c r="U57" i="21" s="1"/>
  <c r="T56" i="21"/>
  <c r="W56" i="21" s="1"/>
  <c r="R55" i="21"/>
  <c r="U55" i="21" s="1"/>
  <c r="T54" i="21"/>
  <c r="W54" i="21" s="1"/>
  <c r="R53" i="21"/>
  <c r="U53" i="21" s="1"/>
  <c r="R44" i="21"/>
  <c r="U44" i="21" s="1"/>
  <c r="R43" i="21"/>
  <c r="U43" i="21" s="1"/>
  <c r="T42" i="21"/>
  <c r="W42" i="21" s="1"/>
  <c r="R41" i="21"/>
  <c r="U41" i="21" s="1"/>
  <c r="T40" i="21"/>
  <c r="W40" i="21" s="1"/>
  <c r="R39" i="21"/>
  <c r="U39" i="21" s="1"/>
  <c r="T38" i="21"/>
  <c r="W38" i="21" s="1"/>
  <c r="R37" i="21"/>
  <c r="U37" i="21" s="1"/>
  <c r="T36" i="21"/>
  <c r="W36" i="21" s="1"/>
  <c r="R35" i="21"/>
  <c r="U35" i="21" s="1"/>
  <c r="T34" i="21"/>
  <c r="W34" i="21" s="1"/>
  <c r="R33" i="21"/>
  <c r="U33" i="21" s="1"/>
  <c r="T32" i="21"/>
  <c r="W32" i="21" s="1"/>
  <c r="R31" i="21"/>
  <c r="U31" i="21" s="1"/>
  <c r="R29" i="21"/>
  <c r="U29" i="21" s="1"/>
  <c r="T23" i="21"/>
  <c r="W23" i="21" s="1"/>
  <c r="T22" i="21"/>
  <c r="W22" i="21" s="1"/>
  <c r="R21" i="21"/>
  <c r="U21" i="21" s="1"/>
  <c r="T20" i="21"/>
  <c r="W20" i="21" s="1"/>
  <c r="R19" i="21"/>
  <c r="U19" i="21" s="1"/>
  <c r="T18" i="21"/>
  <c r="W18" i="21" s="1"/>
  <c r="R17" i="21"/>
  <c r="U17" i="21" s="1"/>
  <c r="T16" i="21"/>
  <c r="W16" i="21" s="1"/>
  <c r="R15" i="21"/>
  <c r="U15" i="21" s="1"/>
  <c r="T14" i="21"/>
  <c r="W14" i="21" s="1"/>
  <c r="R13" i="21"/>
  <c r="U13" i="21" s="1"/>
  <c r="T12" i="21"/>
  <c r="W12" i="21" s="1"/>
  <c r="R11" i="21"/>
  <c r="U11" i="21" s="1"/>
  <c r="T10" i="21"/>
  <c r="W10" i="21" s="1"/>
  <c r="T422" i="22"/>
  <c r="W422" i="22" s="1"/>
  <c r="R421" i="22"/>
  <c r="U421" i="22" s="1"/>
  <c r="T420" i="22"/>
  <c r="W420" i="22" s="1"/>
  <c r="R419" i="22"/>
  <c r="U419" i="22" s="1"/>
  <c r="T418" i="22"/>
  <c r="W418" i="22" s="1"/>
  <c r="R417" i="22"/>
  <c r="U417" i="22" s="1"/>
  <c r="T416" i="22"/>
  <c r="W416" i="22" s="1"/>
  <c r="R415" i="22"/>
  <c r="U415" i="22" s="1"/>
  <c r="T414" i="22"/>
  <c r="W414" i="22" s="1"/>
  <c r="R413" i="22"/>
  <c r="U413" i="22" s="1"/>
  <c r="T412" i="22"/>
  <c r="W412" i="22" s="1"/>
  <c r="R411" i="22"/>
  <c r="U411" i="22" s="1"/>
  <c r="T410" i="22"/>
  <c r="W410" i="22" s="1"/>
  <c r="R409" i="22"/>
  <c r="U409" i="22" s="1"/>
  <c r="T408" i="22"/>
  <c r="W408" i="22" s="1"/>
  <c r="R407" i="22"/>
  <c r="U407" i="22" s="1"/>
  <c r="R401" i="22"/>
  <c r="U401" i="22" s="1"/>
  <c r="T400" i="22"/>
  <c r="W400" i="22" s="1"/>
  <c r="R399" i="22"/>
  <c r="U399" i="22" s="1"/>
  <c r="T398" i="22"/>
  <c r="W398" i="22" s="1"/>
  <c r="R397" i="22"/>
  <c r="U397" i="22" s="1"/>
  <c r="T396" i="22"/>
  <c r="W396" i="22" s="1"/>
  <c r="R395" i="22"/>
  <c r="U395" i="22" s="1"/>
  <c r="T394" i="22"/>
  <c r="W394" i="22" s="1"/>
  <c r="R393" i="22"/>
  <c r="U393" i="22" s="1"/>
  <c r="T392" i="22"/>
  <c r="W392" i="22" s="1"/>
  <c r="R391" i="22"/>
  <c r="U391" i="22" s="1"/>
  <c r="T390" i="22"/>
  <c r="W390" i="22" s="1"/>
  <c r="R389" i="22"/>
  <c r="U389" i="22" s="1"/>
  <c r="T388" i="22"/>
  <c r="W388" i="22" s="1"/>
  <c r="R387" i="22"/>
  <c r="U387" i="22" s="1"/>
  <c r="R380" i="22"/>
  <c r="U380" i="22" s="1"/>
  <c r="T379" i="22"/>
  <c r="W379" i="22" s="1"/>
  <c r="R378" i="22"/>
  <c r="U378" i="22" s="1"/>
  <c r="T377" i="22"/>
  <c r="W377" i="22" s="1"/>
  <c r="R376" i="22"/>
  <c r="U376" i="22" s="1"/>
  <c r="T375" i="22"/>
  <c r="W375" i="22" s="1"/>
  <c r="R374" i="22"/>
  <c r="U374" i="22" s="1"/>
  <c r="T373" i="22"/>
  <c r="W373" i="22" s="1"/>
  <c r="R372" i="22"/>
  <c r="U372" i="22" s="1"/>
  <c r="T371" i="22"/>
  <c r="W371" i="22" s="1"/>
  <c r="R370" i="22"/>
  <c r="U370" i="22" s="1"/>
  <c r="T369" i="22"/>
  <c r="W369" i="22" s="1"/>
  <c r="R368" i="22"/>
  <c r="U368" i="22" s="1"/>
  <c r="T367" i="22"/>
  <c r="W367" i="22" s="1"/>
  <c r="R366" i="22"/>
  <c r="U366" i="22" s="1"/>
  <c r="R359" i="22"/>
  <c r="U359" i="22" s="1"/>
  <c r="T358" i="22"/>
  <c r="W358" i="22" s="1"/>
  <c r="R357" i="22"/>
  <c r="U357" i="22" s="1"/>
  <c r="T356" i="22"/>
  <c r="W356" i="22" s="1"/>
  <c r="R355" i="22"/>
  <c r="U355" i="22" s="1"/>
  <c r="T354" i="22"/>
  <c r="W354" i="22" s="1"/>
  <c r="R353" i="22"/>
  <c r="U353" i="22" s="1"/>
  <c r="T352" i="22"/>
  <c r="W352" i="22" s="1"/>
  <c r="R351" i="22"/>
  <c r="U351" i="22" s="1"/>
  <c r="T350" i="22"/>
  <c r="W350" i="22" s="1"/>
  <c r="R349" i="22"/>
  <c r="U349" i="22" s="1"/>
  <c r="T348" i="22"/>
  <c r="W348" i="22" s="1"/>
  <c r="R347" i="22"/>
  <c r="U347" i="22" s="1"/>
  <c r="T346" i="22"/>
  <c r="W346" i="22" s="1"/>
  <c r="R345" i="22"/>
  <c r="R338" i="22"/>
  <c r="U338" i="22" s="1"/>
  <c r="T337" i="22"/>
  <c r="W337" i="22" s="1"/>
  <c r="R336" i="22"/>
  <c r="U336" i="22" s="1"/>
  <c r="T335" i="22"/>
  <c r="W335" i="22" s="1"/>
  <c r="R334" i="22"/>
  <c r="U334" i="22" s="1"/>
  <c r="T333" i="22"/>
  <c r="W333" i="22" s="1"/>
  <c r="R332" i="22"/>
  <c r="U332" i="22" s="1"/>
  <c r="T331" i="22"/>
  <c r="W331" i="22" s="1"/>
  <c r="R330" i="22"/>
  <c r="U330" i="22" s="1"/>
  <c r="T329" i="22"/>
  <c r="W329" i="22" s="1"/>
  <c r="R328" i="22"/>
  <c r="U328" i="22" s="1"/>
  <c r="T327" i="22"/>
  <c r="W327" i="22" s="1"/>
  <c r="R326" i="22"/>
  <c r="U326" i="22" s="1"/>
  <c r="T325" i="22"/>
  <c r="W325" i="22" s="1"/>
  <c r="R324" i="22"/>
  <c r="U324" i="22" s="1"/>
  <c r="Q322" i="22"/>
  <c r="R317" i="22"/>
  <c r="U317" i="22" s="1"/>
  <c r="T316" i="22"/>
  <c r="W316" i="22" s="1"/>
  <c r="R315" i="22"/>
  <c r="U315" i="22" s="1"/>
  <c r="T314" i="22"/>
  <c r="W314" i="22" s="1"/>
  <c r="R313" i="22"/>
  <c r="U313" i="22" s="1"/>
  <c r="T312" i="22"/>
  <c r="W312" i="22" s="1"/>
  <c r="R311" i="22"/>
  <c r="U311" i="22" s="1"/>
  <c r="T310" i="22"/>
  <c r="W310" i="22" s="1"/>
  <c r="R309" i="22"/>
  <c r="U309" i="22" s="1"/>
  <c r="T308" i="22"/>
  <c r="W308" i="22" s="1"/>
  <c r="R307" i="22"/>
  <c r="U307" i="22" s="1"/>
  <c r="T306" i="22"/>
  <c r="W306" i="22" s="1"/>
  <c r="R305" i="22"/>
  <c r="U305" i="22" s="1"/>
  <c r="T304" i="22"/>
  <c r="W304" i="22" s="1"/>
  <c r="R303" i="22"/>
  <c r="U303" i="22" s="1"/>
  <c r="Q280" i="22"/>
  <c r="R50" i="22"/>
  <c r="U50" i="22" s="1"/>
  <c r="T52" i="22"/>
  <c r="W52" i="22" s="1"/>
  <c r="T54" i="22"/>
  <c r="W54" i="22" s="1"/>
  <c r="T56" i="22"/>
  <c r="W56" i="22" s="1"/>
  <c r="T58" i="22"/>
  <c r="W58" i="22" s="1"/>
  <c r="R29" i="22"/>
  <c r="U29" i="22" s="1"/>
  <c r="R31" i="22"/>
  <c r="U31" i="22" s="1"/>
  <c r="R33" i="22"/>
  <c r="R35" i="22"/>
  <c r="U35" i="22" s="1"/>
  <c r="R37" i="22"/>
  <c r="U37" i="22" s="1"/>
  <c r="R39" i="22"/>
  <c r="U39" i="22" s="1"/>
  <c r="R41" i="22"/>
  <c r="U41" i="22" s="1"/>
  <c r="R42" i="22"/>
  <c r="U42" i="22" s="1"/>
  <c r="R44" i="22"/>
  <c r="U44" i="22" s="1"/>
  <c r="R8" i="22"/>
  <c r="U8" i="22" s="1"/>
  <c r="R10" i="22"/>
  <c r="U10" i="22" s="1"/>
  <c r="R12" i="22"/>
  <c r="U12" i="22" s="1"/>
  <c r="R14" i="22"/>
  <c r="U14" i="22" s="1"/>
  <c r="R16" i="22"/>
  <c r="U16" i="22" s="1"/>
  <c r="R18" i="22"/>
  <c r="U18" i="22" s="1"/>
  <c r="R20" i="22"/>
  <c r="U20" i="22" s="1"/>
  <c r="R22" i="22"/>
  <c r="U22" i="22" s="1"/>
  <c r="O217" i="22"/>
  <c r="O175" i="22"/>
  <c r="O133" i="22"/>
  <c r="O91" i="22"/>
  <c r="O70" i="22"/>
  <c r="Q259" i="22"/>
  <c r="T253" i="22"/>
  <c r="W253" i="22" s="1"/>
  <c r="T251" i="22"/>
  <c r="W251" i="22" s="1"/>
  <c r="T249" i="22"/>
  <c r="W249" i="22" s="1"/>
  <c r="T247" i="22"/>
  <c r="W247" i="22" s="1"/>
  <c r="T245" i="22"/>
  <c r="W245" i="22" s="1"/>
  <c r="T243" i="22"/>
  <c r="W243" i="22" s="1"/>
  <c r="T241" i="22"/>
  <c r="W241" i="22" s="1"/>
  <c r="R233" i="22"/>
  <c r="U233" i="22" s="1"/>
  <c r="R231" i="22"/>
  <c r="U231" i="22" s="1"/>
  <c r="R229" i="22"/>
  <c r="U229" i="22" s="1"/>
  <c r="R227" i="22"/>
  <c r="U227" i="22" s="1"/>
  <c r="R225" i="22"/>
  <c r="U225" i="22" s="1"/>
  <c r="R223" i="22"/>
  <c r="U223" i="22" s="1"/>
  <c r="R221" i="22"/>
  <c r="U221" i="22" s="1"/>
  <c r="R219" i="22"/>
  <c r="U219" i="22" s="1"/>
  <c r="Q217" i="22"/>
  <c r="T211" i="22"/>
  <c r="W211" i="22" s="1"/>
  <c r="T209" i="22"/>
  <c r="W209" i="22" s="1"/>
  <c r="T207" i="22"/>
  <c r="W207" i="22" s="1"/>
  <c r="T205" i="22"/>
  <c r="W205" i="22" s="1"/>
  <c r="T203" i="22"/>
  <c r="W203" i="22" s="1"/>
  <c r="T201" i="22"/>
  <c r="W201" i="22" s="1"/>
  <c r="T199" i="22"/>
  <c r="W199" i="22" s="1"/>
  <c r="R191" i="22"/>
  <c r="U191" i="22" s="1"/>
  <c r="R189" i="22"/>
  <c r="U189" i="22" s="1"/>
  <c r="R187" i="22"/>
  <c r="U187" i="22" s="1"/>
  <c r="R185" i="22"/>
  <c r="U185" i="22" s="1"/>
  <c r="R183" i="22"/>
  <c r="U183" i="22" s="1"/>
  <c r="R181" i="22"/>
  <c r="U181" i="22" s="1"/>
  <c r="R179" i="22"/>
  <c r="U179" i="22" s="1"/>
  <c r="R177" i="22"/>
  <c r="U177" i="22" s="1"/>
  <c r="Q175" i="22"/>
  <c r="T169" i="22"/>
  <c r="W169" i="22" s="1"/>
  <c r="T167" i="22"/>
  <c r="W167" i="22" s="1"/>
  <c r="T165" i="22"/>
  <c r="W165" i="22" s="1"/>
  <c r="T163" i="22"/>
  <c r="W163" i="22" s="1"/>
  <c r="T161" i="22"/>
  <c r="W161" i="22" s="1"/>
  <c r="T159" i="22"/>
  <c r="W159" i="22" s="1"/>
  <c r="T157" i="22"/>
  <c r="R149" i="22"/>
  <c r="U149" i="22" s="1"/>
  <c r="R147" i="22"/>
  <c r="U147" i="22" s="1"/>
  <c r="R145" i="22"/>
  <c r="U145" i="22" s="1"/>
  <c r="R143" i="22"/>
  <c r="U143" i="22" s="1"/>
  <c r="R141" i="22"/>
  <c r="U141" i="22" s="1"/>
  <c r="R139" i="22"/>
  <c r="U139" i="22" s="1"/>
  <c r="R137" i="22"/>
  <c r="U137" i="22" s="1"/>
  <c r="R135" i="22"/>
  <c r="U135" i="22" s="1"/>
  <c r="Q133" i="22"/>
  <c r="T127" i="22"/>
  <c r="W127" i="22" s="1"/>
  <c r="T125" i="22"/>
  <c r="W125" i="22" s="1"/>
  <c r="T123" i="22"/>
  <c r="W123" i="22" s="1"/>
  <c r="T121" i="22"/>
  <c r="W121" i="22" s="1"/>
  <c r="T119" i="22"/>
  <c r="W119" i="22" s="1"/>
  <c r="T117" i="22"/>
  <c r="W117" i="22" s="1"/>
  <c r="T115" i="22"/>
  <c r="W115" i="22" s="1"/>
  <c r="R107" i="22"/>
  <c r="U107" i="22" s="1"/>
  <c r="R105" i="22"/>
  <c r="U105" i="22" s="1"/>
  <c r="R103" i="22"/>
  <c r="U103" i="22" s="1"/>
  <c r="R101" i="22"/>
  <c r="U101" i="22" s="1"/>
  <c r="R99" i="22"/>
  <c r="U99" i="22" s="1"/>
  <c r="R97" i="22"/>
  <c r="U97" i="22" s="1"/>
  <c r="R95" i="22"/>
  <c r="U95" i="22" s="1"/>
  <c r="R93" i="22"/>
  <c r="U93" i="22" s="1"/>
  <c r="Q91" i="22"/>
  <c r="T85" i="22"/>
  <c r="W85" i="22" s="1"/>
  <c r="T83" i="22"/>
  <c r="W83" i="22" s="1"/>
  <c r="T81" i="22"/>
  <c r="W81" i="22" s="1"/>
  <c r="T79" i="22"/>
  <c r="W79" i="22" s="1"/>
  <c r="T77" i="22"/>
  <c r="W77" i="22" s="1"/>
  <c r="T75" i="22"/>
  <c r="W75" i="22" s="1"/>
  <c r="T73" i="22"/>
  <c r="W73" i="22" s="1"/>
  <c r="R65" i="22"/>
  <c r="U65" i="22" s="1"/>
  <c r="R63" i="22"/>
  <c r="U63" i="22" s="1"/>
  <c r="R61" i="22"/>
  <c r="U61" i="22" s="1"/>
  <c r="T50" i="22"/>
  <c r="W50" i="22" s="1"/>
  <c r="U33" i="22"/>
  <c r="T23" i="22"/>
  <c r="W23" i="22" s="1"/>
  <c r="T21" i="22"/>
  <c r="W21" i="22" s="1"/>
  <c r="T19" i="22"/>
  <c r="W19" i="22" s="1"/>
  <c r="T17" i="22"/>
  <c r="W17" i="22" s="1"/>
  <c r="T15" i="22"/>
  <c r="W15" i="22" s="1"/>
  <c r="T13" i="22"/>
  <c r="W13" i="22" s="1"/>
  <c r="T11" i="22"/>
  <c r="W11" i="22" s="1"/>
  <c r="T9" i="22"/>
  <c r="W9" i="22" s="1"/>
  <c r="O28" i="22"/>
  <c r="U345" i="22"/>
  <c r="U113" i="21"/>
  <c r="U222" i="21"/>
  <c r="W233" i="21"/>
  <c r="W157" i="22"/>
  <c r="U264" i="18"/>
  <c r="U365" i="18"/>
  <c r="U51" i="19"/>
  <c r="W73" i="19"/>
  <c r="U218" i="19"/>
  <c r="U222" i="16"/>
  <c r="U306" i="16"/>
  <c r="W30" i="15"/>
  <c r="U138" i="15"/>
  <c r="W366" i="15"/>
  <c r="U390" i="15"/>
  <c r="U54" i="14"/>
  <c r="U159" i="14"/>
  <c r="U243" i="14"/>
  <c r="W72" i="10"/>
  <c r="W240" i="10"/>
  <c r="W302" i="14"/>
  <c r="U386" i="14"/>
  <c r="U409" i="14"/>
  <c r="W218" i="13"/>
  <c r="U302" i="13"/>
  <c r="U325" i="13"/>
  <c r="W134" i="12"/>
  <c r="U218" i="12"/>
  <c r="U241" i="12"/>
  <c r="U345" i="12"/>
  <c r="U156" i="11"/>
  <c r="W281" i="11"/>
  <c r="W323" i="10"/>
  <c r="U407" i="10"/>
  <c r="W260" i="14"/>
  <c r="U344" i="14"/>
  <c r="U367" i="14"/>
  <c r="W176" i="13"/>
  <c r="U260" i="13"/>
  <c r="U283" i="13"/>
  <c r="W92" i="12"/>
  <c r="U176" i="12"/>
  <c r="U199" i="12"/>
  <c r="U262" i="11"/>
  <c r="W323" i="11"/>
  <c r="U407" i="11"/>
  <c r="U10" i="10"/>
  <c r="U71" i="10"/>
  <c r="U155" i="10"/>
  <c r="U239" i="10"/>
  <c r="U365" i="10"/>
  <c r="U388" i="10"/>
  <c r="U113" i="8"/>
  <c r="W156" i="8"/>
  <c r="U180" i="8"/>
  <c r="U264" i="8"/>
  <c r="U281" i="8"/>
  <c r="W324" i="8"/>
  <c r="U348" i="8"/>
  <c r="U365" i="8"/>
  <c r="W92" i="9"/>
  <c r="U176" i="9"/>
  <c r="U199" i="9"/>
  <c r="W9" i="8"/>
  <c r="U33" i="8"/>
  <c r="U50" i="8"/>
  <c r="W134" i="9"/>
  <c r="U218" i="9"/>
  <c r="U241" i="9"/>
  <c r="W302" i="9"/>
  <c r="W386" i="9"/>
  <c r="R49" i="22"/>
  <c r="W314" i="20"/>
  <c r="W303" i="12"/>
  <c r="U54" i="20"/>
  <c r="W197" i="21"/>
  <c r="W31" i="19"/>
  <c r="U114" i="19"/>
  <c r="U243" i="19"/>
  <c r="U344" i="19"/>
  <c r="W51" i="18"/>
  <c r="U92" i="18"/>
  <c r="W323" i="20"/>
  <c r="W387" i="17"/>
  <c r="U113" i="16"/>
  <c r="U197" i="16"/>
  <c r="W240" i="16"/>
  <c r="U281" i="16"/>
  <c r="U365" i="16"/>
  <c r="W408" i="16"/>
  <c r="U29" i="15"/>
  <c r="U113" i="15"/>
  <c r="W156" i="15"/>
  <c r="U281" i="15"/>
  <c r="W324" i="15"/>
  <c r="U29" i="14"/>
  <c r="W72" i="14"/>
  <c r="U134" i="14"/>
  <c r="R322" i="17"/>
  <c r="U8" i="16"/>
  <c r="U50" i="16"/>
  <c r="U302" i="14"/>
  <c r="U325" i="14"/>
  <c r="W386" i="14"/>
  <c r="U73" i="13"/>
  <c r="W134" i="13"/>
  <c r="U218" i="13"/>
  <c r="W302" i="13"/>
  <c r="U386" i="13"/>
  <c r="U409" i="13"/>
  <c r="U157" i="12"/>
  <c r="W218" i="12"/>
  <c r="U281" i="11"/>
  <c r="U304" i="11"/>
  <c r="W365" i="11"/>
  <c r="U29" i="10"/>
  <c r="U323" i="10"/>
  <c r="U346" i="10"/>
  <c r="W71" i="9"/>
  <c r="U260" i="14"/>
  <c r="U283" i="14"/>
  <c r="U31" i="13"/>
  <c r="W92" i="13"/>
  <c r="U176" i="13"/>
  <c r="U199" i="13"/>
  <c r="W260" i="13"/>
  <c r="U344" i="13"/>
  <c r="W8" i="12"/>
  <c r="U92" i="12"/>
  <c r="U115" i="12"/>
  <c r="W260" i="12"/>
  <c r="U324" i="12"/>
  <c r="U9" i="11"/>
  <c r="U72" i="11"/>
  <c r="U177" i="11"/>
  <c r="U240" i="11"/>
  <c r="U323" i="11"/>
  <c r="U346" i="11"/>
  <c r="U304" i="10"/>
  <c r="W365" i="10"/>
  <c r="W114" i="8"/>
  <c r="U138" i="8"/>
  <c r="U155" i="8"/>
  <c r="W198" i="8"/>
  <c r="U222" i="8"/>
  <c r="U239" i="8"/>
  <c r="W282" i="8"/>
  <c r="U323" i="8"/>
  <c r="W366" i="8"/>
  <c r="U390" i="8"/>
  <c r="U92" i="9"/>
  <c r="U115" i="9"/>
  <c r="W176" i="9"/>
  <c r="U260" i="9"/>
  <c r="U283" i="9"/>
  <c r="W344" i="9"/>
  <c r="U8" i="8"/>
  <c r="W51" i="8"/>
  <c r="U75" i="8"/>
  <c r="W218" i="9"/>
  <c r="U302" i="9"/>
  <c r="U325" i="9"/>
  <c r="U134" i="10"/>
  <c r="W282" i="12"/>
  <c r="T50" i="10"/>
  <c r="W50" i="10" s="1"/>
  <c r="R50" i="10"/>
  <c r="R52" i="10"/>
  <c r="U52" i="10" s="1"/>
  <c r="R56" i="10"/>
  <c r="U56" i="10" s="1"/>
  <c r="T8" i="10"/>
  <c r="R8" i="10"/>
  <c r="T11" i="10"/>
  <c r="W11" i="10" s="1"/>
  <c r="T13" i="10"/>
  <c r="W13" i="10" s="1"/>
  <c r="T15" i="10"/>
  <c r="W15" i="10" s="1"/>
  <c r="T17" i="10"/>
  <c r="W17" i="10" s="1"/>
  <c r="T19" i="10"/>
  <c r="W19" i="10" s="1"/>
  <c r="T21" i="10"/>
  <c r="W21" i="10" s="1"/>
  <c r="T23" i="10"/>
  <c r="W23" i="10" s="1"/>
  <c r="T389" i="11"/>
  <c r="W389" i="11" s="1"/>
  <c r="T391" i="11"/>
  <c r="W391" i="11" s="1"/>
  <c r="T393" i="11"/>
  <c r="W393" i="11" s="1"/>
  <c r="T395" i="11"/>
  <c r="W395" i="11" s="1"/>
  <c r="T397" i="11"/>
  <c r="W397" i="11" s="1"/>
  <c r="T399" i="11"/>
  <c r="W399" i="11" s="1"/>
  <c r="T401" i="11"/>
  <c r="W401" i="11" s="1"/>
  <c r="R325" i="11"/>
  <c r="U325" i="11" s="1"/>
  <c r="R327" i="11"/>
  <c r="U327" i="11" s="1"/>
  <c r="R331" i="11"/>
  <c r="U331" i="11" s="1"/>
  <c r="R335" i="11"/>
  <c r="U335" i="11" s="1"/>
  <c r="R198" i="11"/>
  <c r="R202" i="11"/>
  <c r="U202" i="11" s="1"/>
  <c r="R206" i="11"/>
  <c r="U206" i="11" s="1"/>
  <c r="R210" i="11"/>
  <c r="U210" i="11" s="1"/>
  <c r="T399" i="8"/>
  <c r="W399" i="8" s="1"/>
  <c r="T397" i="8"/>
  <c r="W397" i="8" s="1"/>
  <c r="T395" i="8"/>
  <c r="W395" i="8" s="1"/>
  <c r="T393" i="8"/>
  <c r="W393" i="8" s="1"/>
  <c r="T391" i="8"/>
  <c r="W391" i="8" s="1"/>
  <c r="T389" i="8"/>
  <c r="W389" i="8" s="1"/>
  <c r="T387" i="8"/>
  <c r="W387" i="8" s="1"/>
  <c r="R386" i="8"/>
  <c r="U386" i="8" s="1"/>
  <c r="T386" i="8"/>
  <c r="W386" i="8" s="1"/>
  <c r="R379" i="8"/>
  <c r="U379" i="8" s="1"/>
  <c r="R377" i="8"/>
  <c r="U377" i="8" s="1"/>
  <c r="R375" i="8"/>
  <c r="U375" i="8" s="1"/>
  <c r="R373" i="8"/>
  <c r="U373" i="8" s="1"/>
  <c r="R371" i="8"/>
  <c r="U371" i="8" s="1"/>
  <c r="R369" i="8"/>
  <c r="U369" i="8" s="1"/>
  <c r="T313" i="8"/>
  <c r="W313" i="8" s="1"/>
  <c r="T311" i="8"/>
  <c r="W311" i="8" s="1"/>
  <c r="T309" i="8"/>
  <c r="W309" i="8" s="1"/>
  <c r="T307" i="8"/>
  <c r="W307" i="8" s="1"/>
  <c r="T305" i="8"/>
  <c r="W305" i="8" s="1"/>
  <c r="T303" i="8"/>
  <c r="W303" i="8" s="1"/>
  <c r="R302" i="8"/>
  <c r="U302" i="8" s="1"/>
  <c r="T302" i="8"/>
  <c r="W302" i="8" s="1"/>
  <c r="R293" i="8"/>
  <c r="U293" i="8" s="1"/>
  <c r="R291" i="8"/>
  <c r="U291" i="8" s="1"/>
  <c r="R289" i="8"/>
  <c r="U289" i="8" s="1"/>
  <c r="R287" i="8"/>
  <c r="U287" i="8" s="1"/>
  <c r="R285" i="8"/>
  <c r="U285" i="8" s="1"/>
  <c r="T227" i="8"/>
  <c r="W227" i="8" s="1"/>
  <c r="T225" i="8"/>
  <c r="W225" i="8" s="1"/>
  <c r="T223" i="8"/>
  <c r="W223" i="8" s="1"/>
  <c r="T221" i="8"/>
  <c r="W221" i="8" s="1"/>
  <c r="T219" i="8"/>
  <c r="W219" i="8" s="1"/>
  <c r="R218" i="8"/>
  <c r="U218" i="8" s="1"/>
  <c r="T218" i="8"/>
  <c r="W218" i="8" s="1"/>
  <c r="R207" i="8"/>
  <c r="U207" i="8" s="1"/>
  <c r="R205" i="8"/>
  <c r="U205" i="8" s="1"/>
  <c r="R203" i="8"/>
  <c r="U203" i="8" s="1"/>
  <c r="R201" i="8"/>
  <c r="U201" i="8" s="1"/>
  <c r="T143" i="8"/>
  <c r="W143" i="8" s="1"/>
  <c r="T141" i="8"/>
  <c r="W141" i="8" s="1"/>
  <c r="T139" i="8"/>
  <c r="W139" i="8" s="1"/>
  <c r="T137" i="8"/>
  <c r="W137" i="8" s="1"/>
  <c r="T135" i="8"/>
  <c r="W135" i="8" s="1"/>
  <c r="R134" i="8"/>
  <c r="T134" i="8"/>
  <c r="W134" i="8" s="1"/>
  <c r="R94" i="8"/>
  <c r="U94" i="8" s="1"/>
  <c r="Q91" i="8"/>
  <c r="R31" i="8"/>
  <c r="U31" i="8" s="1"/>
  <c r="Q427" i="9"/>
  <c r="R197" i="9"/>
  <c r="U197" i="9" s="1"/>
  <c r="T118" i="9"/>
  <c r="W118" i="9" s="1"/>
  <c r="T116" i="9"/>
  <c r="R113" i="9"/>
  <c r="U113" i="9" s="1"/>
  <c r="O154" i="10"/>
  <c r="Q28" i="10"/>
  <c r="O343" i="11"/>
  <c r="Q343" i="11"/>
  <c r="T253" i="11"/>
  <c r="W253" i="11" s="1"/>
  <c r="T249" i="11"/>
  <c r="W249" i="11" s="1"/>
  <c r="T245" i="11"/>
  <c r="W245" i="11" s="1"/>
  <c r="R413" i="11"/>
  <c r="R417" i="11"/>
  <c r="U417" i="11" s="1"/>
  <c r="R421" i="11"/>
  <c r="U421" i="11" s="1"/>
  <c r="T302" i="11"/>
  <c r="W302" i="11" s="1"/>
  <c r="R302" i="11"/>
  <c r="T303" i="11"/>
  <c r="W303" i="11" s="1"/>
  <c r="T260" i="11"/>
  <c r="R260" i="11"/>
  <c r="U260" i="11" s="1"/>
  <c r="T263" i="11"/>
  <c r="W263" i="11" s="1"/>
  <c r="T265" i="11"/>
  <c r="W265" i="11" s="1"/>
  <c r="T267" i="11"/>
  <c r="W267" i="11" s="1"/>
  <c r="T269" i="11"/>
  <c r="W269" i="11" s="1"/>
  <c r="T271" i="11"/>
  <c r="W271" i="11" s="1"/>
  <c r="T273" i="11"/>
  <c r="W273" i="11" s="1"/>
  <c r="T275" i="11"/>
  <c r="W275" i="11" s="1"/>
  <c r="R137" i="11"/>
  <c r="U137" i="11" s="1"/>
  <c r="R139" i="11"/>
  <c r="U139" i="11" s="1"/>
  <c r="R141" i="11"/>
  <c r="U141" i="11" s="1"/>
  <c r="R143" i="11"/>
  <c r="U143" i="11" s="1"/>
  <c r="R145" i="11"/>
  <c r="U145" i="11" s="1"/>
  <c r="R147" i="11"/>
  <c r="U147" i="11" s="1"/>
  <c r="R149" i="11"/>
  <c r="U149" i="11" s="1"/>
  <c r="T103" i="8"/>
  <c r="W103" i="8" s="1"/>
  <c r="T101" i="8"/>
  <c r="W101" i="8" s="1"/>
  <c r="T99" i="8"/>
  <c r="W99" i="8" s="1"/>
  <c r="T97" i="8"/>
  <c r="W97" i="8" s="1"/>
  <c r="T95" i="8"/>
  <c r="W95" i="8" s="1"/>
  <c r="T93" i="8"/>
  <c r="W93" i="8" s="1"/>
  <c r="R92" i="8"/>
  <c r="U92" i="8" s="1"/>
  <c r="T84" i="8"/>
  <c r="W84" i="8" s="1"/>
  <c r="T82" i="8"/>
  <c r="W82" i="8" s="1"/>
  <c r="T80" i="8"/>
  <c r="W80" i="8" s="1"/>
  <c r="T78" i="8"/>
  <c r="W78" i="8" s="1"/>
  <c r="T76" i="8"/>
  <c r="T44" i="8"/>
  <c r="W44" i="8" s="1"/>
  <c r="T42" i="8"/>
  <c r="W42" i="8" s="1"/>
  <c r="T40" i="8"/>
  <c r="W40" i="8" s="1"/>
  <c r="T38" i="8"/>
  <c r="W38" i="8" s="1"/>
  <c r="T36" i="8"/>
  <c r="W36" i="8" s="1"/>
  <c r="T34" i="8"/>
  <c r="W34" i="8" s="1"/>
  <c r="T32" i="8"/>
  <c r="W32" i="8" s="1"/>
  <c r="T30" i="8"/>
  <c r="W30" i="8" s="1"/>
  <c r="R29" i="8"/>
  <c r="U29" i="8" s="1"/>
  <c r="R22" i="8"/>
  <c r="U22" i="8" s="1"/>
  <c r="R20" i="8"/>
  <c r="U20" i="8" s="1"/>
  <c r="R18" i="8"/>
  <c r="U18" i="8" s="1"/>
  <c r="R16" i="8"/>
  <c r="U16" i="8" s="1"/>
  <c r="R14" i="8"/>
  <c r="U14" i="8" s="1"/>
  <c r="R12" i="8"/>
  <c r="U12" i="8" s="1"/>
  <c r="R352" i="9"/>
  <c r="U352" i="9" s="1"/>
  <c r="R348" i="9"/>
  <c r="U348" i="9" s="1"/>
  <c r="T324" i="9"/>
  <c r="W324" i="9" s="1"/>
  <c r="R323" i="9"/>
  <c r="U323" i="9" s="1"/>
  <c r="R41" i="9"/>
  <c r="U41" i="9" s="1"/>
  <c r="R37" i="9"/>
  <c r="U37" i="9" s="1"/>
  <c r="R33" i="9"/>
  <c r="T9" i="9"/>
  <c r="W9" i="9" s="1"/>
  <c r="R8" i="9"/>
  <c r="U8" i="9" s="1"/>
  <c r="T401" i="10"/>
  <c r="W401" i="10" s="1"/>
  <c r="T399" i="10"/>
  <c r="W399" i="10" s="1"/>
  <c r="T397" i="10"/>
  <c r="W397" i="10" s="1"/>
  <c r="T395" i="10"/>
  <c r="W395" i="10" s="1"/>
  <c r="T393" i="10"/>
  <c r="W393" i="10" s="1"/>
  <c r="T391" i="10"/>
  <c r="W391" i="10" s="1"/>
  <c r="T389" i="10"/>
  <c r="W389" i="10" s="1"/>
  <c r="R386" i="10"/>
  <c r="R379" i="10"/>
  <c r="U379" i="10" s="1"/>
  <c r="R375" i="10"/>
  <c r="T359" i="10"/>
  <c r="W359" i="10" s="1"/>
  <c r="T357" i="10"/>
  <c r="W357" i="10" s="1"/>
  <c r="T355" i="10"/>
  <c r="W355" i="10" s="1"/>
  <c r="T353" i="10"/>
  <c r="W353" i="10" s="1"/>
  <c r="T351" i="10"/>
  <c r="W351" i="10" s="1"/>
  <c r="T349" i="10"/>
  <c r="W349" i="10" s="1"/>
  <c r="T296" i="10"/>
  <c r="W296" i="10" s="1"/>
  <c r="T294" i="10"/>
  <c r="W294" i="10" s="1"/>
  <c r="T292" i="10"/>
  <c r="W292" i="10" s="1"/>
  <c r="T288" i="10"/>
  <c r="W288" i="10" s="1"/>
  <c r="O238" i="10"/>
  <c r="T128" i="10"/>
  <c r="W128" i="10" s="1"/>
  <c r="T124" i="10"/>
  <c r="W124" i="10" s="1"/>
  <c r="T120" i="10"/>
  <c r="W120" i="10" s="1"/>
  <c r="O70" i="10"/>
  <c r="T9" i="10"/>
  <c r="W9" i="10" s="1"/>
  <c r="T349" i="11"/>
  <c r="W349" i="11" s="1"/>
  <c r="R329" i="11"/>
  <c r="U329" i="11" s="1"/>
  <c r="O301" i="11"/>
  <c r="Q280" i="11"/>
  <c r="Q154" i="11"/>
  <c r="R42" i="11"/>
  <c r="U42" i="11" s="1"/>
  <c r="R38" i="11"/>
  <c r="U38" i="11" s="1"/>
  <c r="R34" i="11"/>
  <c r="U34" i="11" s="1"/>
  <c r="R401" i="12"/>
  <c r="U401" i="12" s="1"/>
  <c r="R399" i="12"/>
  <c r="U399" i="12" s="1"/>
  <c r="R397" i="12"/>
  <c r="U397" i="12" s="1"/>
  <c r="R395" i="12"/>
  <c r="U395" i="12" s="1"/>
  <c r="R393" i="12"/>
  <c r="U393" i="12" s="1"/>
  <c r="R391" i="12"/>
  <c r="U391" i="12" s="1"/>
  <c r="R317" i="12"/>
  <c r="U317" i="12" s="1"/>
  <c r="R313" i="12"/>
  <c r="U313" i="12" s="1"/>
  <c r="R309" i="12"/>
  <c r="U309" i="12" s="1"/>
  <c r="R304" i="12"/>
  <c r="U304" i="12" s="1"/>
  <c r="R295" i="12"/>
  <c r="U295" i="12" s="1"/>
  <c r="R291" i="12"/>
  <c r="U291" i="12" s="1"/>
  <c r="R287" i="12"/>
  <c r="T273" i="12"/>
  <c r="W273" i="12" s="1"/>
  <c r="T240" i="12"/>
  <c r="R239" i="12"/>
  <c r="T212" i="12"/>
  <c r="W212" i="12" s="1"/>
  <c r="T210" i="12"/>
  <c r="W210" i="12" s="1"/>
  <c r="T208" i="12"/>
  <c r="W208" i="12" s="1"/>
  <c r="T206" i="12"/>
  <c r="W206" i="12" s="1"/>
  <c r="T204" i="12"/>
  <c r="W204" i="12" s="1"/>
  <c r="T202" i="12"/>
  <c r="W202" i="12" s="1"/>
  <c r="T200" i="12"/>
  <c r="W200" i="12" s="1"/>
  <c r="R197" i="12"/>
  <c r="U197" i="12" s="1"/>
  <c r="R190" i="12"/>
  <c r="U190" i="12" s="1"/>
  <c r="R186" i="12"/>
  <c r="T170" i="12"/>
  <c r="W170" i="12" s="1"/>
  <c r="T168" i="12"/>
  <c r="W168" i="12" s="1"/>
  <c r="T166" i="12"/>
  <c r="W166" i="12" s="1"/>
  <c r="T164" i="12"/>
  <c r="W164" i="12" s="1"/>
  <c r="T162" i="12"/>
  <c r="W162" i="12" s="1"/>
  <c r="T160" i="12"/>
  <c r="W160" i="12" s="1"/>
  <c r="R104" i="12"/>
  <c r="U104" i="12" s="1"/>
  <c r="R100" i="12"/>
  <c r="U100" i="12" s="1"/>
  <c r="R96" i="12"/>
  <c r="U96" i="12" s="1"/>
  <c r="T72" i="12"/>
  <c r="W72" i="12" s="1"/>
  <c r="R71" i="12"/>
  <c r="T44" i="12"/>
  <c r="W44" i="12" s="1"/>
  <c r="T42" i="12"/>
  <c r="W42" i="12" s="1"/>
  <c r="T40" i="12"/>
  <c r="W40" i="12" s="1"/>
  <c r="T38" i="12"/>
  <c r="W38" i="12" s="1"/>
  <c r="T36" i="12"/>
  <c r="W36" i="12" s="1"/>
  <c r="T34" i="12"/>
  <c r="W34" i="12" s="1"/>
  <c r="T32" i="12"/>
  <c r="R29" i="12"/>
  <c r="U29" i="12" s="1"/>
  <c r="R22" i="12"/>
  <c r="U22" i="12" s="1"/>
  <c r="R18" i="12"/>
  <c r="T422" i="13"/>
  <c r="W422" i="13" s="1"/>
  <c r="T420" i="13"/>
  <c r="W420" i="13" s="1"/>
  <c r="T418" i="13"/>
  <c r="W418" i="13" s="1"/>
  <c r="T416" i="13"/>
  <c r="W416" i="13" s="1"/>
  <c r="T414" i="13"/>
  <c r="W414" i="13" s="1"/>
  <c r="T412" i="13"/>
  <c r="W412" i="13" s="1"/>
  <c r="R356" i="13"/>
  <c r="U356" i="13" s="1"/>
  <c r="R352" i="13"/>
  <c r="U352" i="13" s="1"/>
  <c r="R348" i="13"/>
  <c r="U348" i="13" s="1"/>
  <c r="T324" i="13"/>
  <c r="W324" i="13" s="1"/>
  <c r="R323" i="13"/>
  <c r="U323" i="13" s="1"/>
  <c r="T296" i="13"/>
  <c r="W296" i="13" s="1"/>
  <c r="T294" i="13"/>
  <c r="W294" i="13" s="1"/>
  <c r="T292" i="13"/>
  <c r="W292" i="13" s="1"/>
  <c r="T290" i="13"/>
  <c r="W290" i="13" s="1"/>
  <c r="T288" i="13"/>
  <c r="W288" i="13" s="1"/>
  <c r="T286" i="13"/>
  <c r="W286" i="13" s="1"/>
  <c r="T284" i="13"/>
  <c r="W284" i="13" s="1"/>
  <c r="R281" i="13"/>
  <c r="U281" i="13" s="1"/>
  <c r="R274" i="13"/>
  <c r="U274" i="13" s="1"/>
  <c r="R270" i="13"/>
  <c r="U270" i="13" s="1"/>
  <c r="T254" i="13"/>
  <c r="W254" i="13" s="1"/>
  <c r="T252" i="13"/>
  <c r="W252" i="13" s="1"/>
  <c r="T250" i="13"/>
  <c r="W250" i="13" s="1"/>
  <c r="T248" i="13"/>
  <c r="W248" i="13" s="1"/>
  <c r="T246" i="13"/>
  <c r="W246" i="13" s="1"/>
  <c r="T244" i="13"/>
  <c r="W244" i="13" s="1"/>
  <c r="R188" i="13"/>
  <c r="U188" i="13" s="1"/>
  <c r="R184" i="13"/>
  <c r="U184" i="13" s="1"/>
  <c r="R180" i="13"/>
  <c r="U180" i="13" s="1"/>
  <c r="T156" i="13"/>
  <c r="W156" i="13" s="1"/>
  <c r="R155" i="13"/>
  <c r="U155" i="13" s="1"/>
  <c r="T128" i="13"/>
  <c r="W128" i="13" s="1"/>
  <c r="T126" i="13"/>
  <c r="W126" i="13" s="1"/>
  <c r="T124" i="13"/>
  <c r="W124" i="13" s="1"/>
  <c r="T122" i="13"/>
  <c r="W122" i="13" s="1"/>
  <c r="T120" i="13"/>
  <c r="W120" i="13" s="1"/>
  <c r="T118" i="13"/>
  <c r="W118" i="13" s="1"/>
  <c r="T116" i="13"/>
  <c r="W116" i="13" s="1"/>
  <c r="R113" i="13"/>
  <c r="R106" i="13"/>
  <c r="U106" i="13" s="1"/>
  <c r="R102" i="13"/>
  <c r="U102" i="13" s="1"/>
  <c r="T86" i="13"/>
  <c r="W86" i="13" s="1"/>
  <c r="T84" i="13"/>
  <c r="W84" i="13" s="1"/>
  <c r="T82" i="13"/>
  <c r="W82" i="13" s="1"/>
  <c r="T80" i="13"/>
  <c r="W80" i="13" s="1"/>
  <c r="T78" i="13"/>
  <c r="W78" i="13" s="1"/>
  <c r="T76" i="13"/>
  <c r="R20" i="13"/>
  <c r="U20" i="13" s="1"/>
  <c r="R16" i="13"/>
  <c r="U16" i="13" s="1"/>
  <c r="R12" i="13"/>
  <c r="U12" i="13" s="1"/>
  <c r="T408" i="14"/>
  <c r="R407" i="14"/>
  <c r="U407" i="14" s="1"/>
  <c r="T380" i="14"/>
  <c r="W380" i="14" s="1"/>
  <c r="T378" i="14"/>
  <c r="W378" i="14" s="1"/>
  <c r="T376" i="14"/>
  <c r="W376" i="14" s="1"/>
  <c r="T374" i="14"/>
  <c r="W374" i="14" s="1"/>
  <c r="T372" i="14"/>
  <c r="W372" i="14" s="1"/>
  <c r="T370" i="14"/>
  <c r="W370" i="14" s="1"/>
  <c r="T368" i="14"/>
  <c r="R365" i="14"/>
  <c r="R358" i="14"/>
  <c r="U358" i="14" s="1"/>
  <c r="R354" i="14"/>
  <c r="U354" i="14" s="1"/>
  <c r="T338" i="14"/>
  <c r="W338" i="14" s="1"/>
  <c r="T336" i="14"/>
  <c r="W336" i="14" s="1"/>
  <c r="T334" i="14"/>
  <c r="W334" i="14" s="1"/>
  <c r="T332" i="14"/>
  <c r="W332" i="14" s="1"/>
  <c r="T330" i="14"/>
  <c r="W330" i="14" s="1"/>
  <c r="T328" i="14"/>
  <c r="W328" i="14" s="1"/>
  <c r="R272" i="14"/>
  <c r="U272" i="14" s="1"/>
  <c r="R268" i="14"/>
  <c r="U268" i="14" s="1"/>
  <c r="R264" i="14"/>
  <c r="T240" i="14"/>
  <c r="W240" i="14" s="1"/>
  <c r="R239" i="14"/>
  <c r="U239" i="14" s="1"/>
  <c r="T239" i="14"/>
  <c r="W239" i="14" s="1"/>
  <c r="R232" i="14"/>
  <c r="U232" i="14" s="1"/>
  <c r="R230" i="14"/>
  <c r="U230" i="14" s="1"/>
  <c r="R228" i="14"/>
  <c r="U228" i="14" s="1"/>
  <c r="R226" i="14"/>
  <c r="U226" i="14" s="1"/>
  <c r="R224" i="14"/>
  <c r="U224" i="14" s="1"/>
  <c r="T212" i="14"/>
  <c r="W212" i="14" s="1"/>
  <c r="T210" i="14"/>
  <c r="W210" i="14" s="1"/>
  <c r="T208" i="14"/>
  <c r="W208" i="14" s="1"/>
  <c r="T206" i="14"/>
  <c r="W206" i="14" s="1"/>
  <c r="T204" i="14"/>
  <c r="W204" i="14" s="1"/>
  <c r="T202" i="14"/>
  <c r="W202" i="14" s="1"/>
  <c r="T200" i="14"/>
  <c r="W200" i="14" s="1"/>
  <c r="T198" i="14"/>
  <c r="W198" i="14" s="1"/>
  <c r="R197" i="14"/>
  <c r="U197" i="14" s="1"/>
  <c r="T197" i="14"/>
  <c r="R190" i="14"/>
  <c r="U190" i="14" s="1"/>
  <c r="R188" i="14"/>
  <c r="U188" i="14" s="1"/>
  <c r="R186" i="14"/>
  <c r="U186" i="14" s="1"/>
  <c r="R184" i="14"/>
  <c r="U184" i="14" s="1"/>
  <c r="R182" i="14"/>
  <c r="U182" i="14" s="1"/>
  <c r="T170" i="14"/>
  <c r="W170" i="14" s="1"/>
  <c r="T168" i="14"/>
  <c r="W168" i="14" s="1"/>
  <c r="T166" i="14"/>
  <c r="W166" i="14" s="1"/>
  <c r="T164" i="14"/>
  <c r="W164" i="14" s="1"/>
  <c r="T162" i="14"/>
  <c r="W162" i="14" s="1"/>
  <c r="T160" i="14"/>
  <c r="W160" i="14" s="1"/>
  <c r="T158" i="14"/>
  <c r="W158" i="14" s="1"/>
  <c r="T156" i="14"/>
  <c r="W156" i="14" s="1"/>
  <c r="R155" i="14"/>
  <c r="T155" i="14"/>
  <c r="R148" i="14"/>
  <c r="U148" i="14" s="1"/>
  <c r="R146" i="14"/>
  <c r="U146" i="14" s="1"/>
  <c r="R144" i="14"/>
  <c r="U144" i="14" s="1"/>
  <c r="R142" i="14"/>
  <c r="U142" i="14" s="1"/>
  <c r="R140" i="14"/>
  <c r="U140" i="14" s="1"/>
  <c r="T128" i="14"/>
  <c r="W128" i="14" s="1"/>
  <c r="T126" i="14"/>
  <c r="W126" i="14" s="1"/>
  <c r="T124" i="14"/>
  <c r="W124" i="14" s="1"/>
  <c r="T122" i="14"/>
  <c r="W122" i="14" s="1"/>
  <c r="O133" i="14"/>
  <c r="R115" i="14"/>
  <c r="O91" i="14"/>
  <c r="R73" i="14"/>
  <c r="U73" i="14" s="1"/>
  <c r="O49" i="14"/>
  <c r="R31" i="14"/>
  <c r="O427" i="15"/>
  <c r="R409" i="15"/>
  <c r="U409" i="15" s="1"/>
  <c r="O385" i="15"/>
  <c r="R367" i="15"/>
  <c r="O343" i="15"/>
  <c r="R325" i="15"/>
  <c r="O301" i="15"/>
  <c r="R283" i="15"/>
  <c r="O259" i="15"/>
  <c r="R241" i="15"/>
  <c r="U241" i="15" s="1"/>
  <c r="O217" i="15"/>
  <c r="R199" i="15"/>
  <c r="O175" i="15"/>
  <c r="R157" i="15"/>
  <c r="U157" i="15" s="1"/>
  <c r="O133" i="15"/>
  <c r="R115" i="15"/>
  <c r="O91" i="15"/>
  <c r="R73" i="15"/>
  <c r="O49" i="15"/>
  <c r="R31" i="15"/>
  <c r="O427" i="16"/>
  <c r="R409" i="16"/>
  <c r="U409" i="16" s="1"/>
  <c r="O385" i="16"/>
  <c r="R367" i="16"/>
  <c r="R325" i="16"/>
  <c r="U325" i="16" s="1"/>
  <c r="R283" i="16"/>
  <c r="R241" i="16"/>
  <c r="U241" i="16" s="1"/>
  <c r="R199" i="16"/>
  <c r="R157" i="16"/>
  <c r="U157" i="16" s="1"/>
  <c r="R115" i="16"/>
  <c r="U115" i="16" s="1"/>
  <c r="R94" i="16"/>
  <c r="U94" i="16" s="1"/>
  <c r="R71" i="16"/>
  <c r="T72" i="16"/>
  <c r="T51" i="17"/>
  <c r="W51" i="17" s="1"/>
  <c r="R10" i="17"/>
  <c r="U10" i="17" s="1"/>
  <c r="R388" i="18"/>
  <c r="U388" i="18" s="1"/>
  <c r="R346" i="18"/>
  <c r="U346" i="18" s="1"/>
  <c r="R304" i="18"/>
  <c r="U304" i="18" s="1"/>
  <c r="R262" i="18"/>
  <c r="U262" i="18" s="1"/>
  <c r="R220" i="18"/>
  <c r="U220" i="18" s="1"/>
  <c r="R178" i="18"/>
  <c r="U178" i="18" s="1"/>
  <c r="Q175" i="18"/>
  <c r="Q133" i="18"/>
  <c r="Q91" i="18"/>
  <c r="Q49" i="18"/>
  <c r="Q427" i="19"/>
  <c r="O385" i="19"/>
  <c r="Q385" i="19"/>
  <c r="T365" i="19"/>
  <c r="W365" i="19" s="1"/>
  <c r="R365" i="19"/>
  <c r="U365" i="19" s="1"/>
  <c r="T366" i="19"/>
  <c r="W366" i="19" s="1"/>
  <c r="T368" i="19"/>
  <c r="W368" i="19" s="1"/>
  <c r="T370" i="19"/>
  <c r="W370" i="19" s="1"/>
  <c r="T372" i="19"/>
  <c r="W372" i="19" s="1"/>
  <c r="T374" i="19"/>
  <c r="W374" i="19" s="1"/>
  <c r="T376" i="19"/>
  <c r="W376" i="19" s="1"/>
  <c r="T378" i="19"/>
  <c r="W378" i="19" s="1"/>
  <c r="T380" i="19"/>
  <c r="W380" i="19" s="1"/>
  <c r="R92" i="16"/>
  <c r="U92" i="16" s="1"/>
  <c r="U112" i="16" s="1"/>
  <c r="R54" i="17"/>
  <c r="U54" i="17" s="1"/>
  <c r="R52" i="17"/>
  <c r="U52" i="17" s="1"/>
  <c r="T36" i="17"/>
  <c r="W36" i="17" s="1"/>
  <c r="T34" i="17"/>
  <c r="W34" i="17" s="1"/>
  <c r="T32" i="17"/>
  <c r="W32" i="17" s="1"/>
  <c r="T30" i="17"/>
  <c r="W30" i="17" s="1"/>
  <c r="T19" i="17"/>
  <c r="W19" i="17" s="1"/>
  <c r="T17" i="17"/>
  <c r="W17" i="17" s="1"/>
  <c r="T15" i="17"/>
  <c r="W15" i="17" s="1"/>
  <c r="T13" i="17"/>
  <c r="W13" i="17" s="1"/>
  <c r="T11" i="17"/>
  <c r="W11" i="17" s="1"/>
  <c r="T9" i="17"/>
  <c r="W9" i="17" s="1"/>
  <c r="R8" i="17"/>
  <c r="R417" i="18"/>
  <c r="U417" i="18" s="1"/>
  <c r="R415" i="18"/>
  <c r="U415" i="18" s="1"/>
  <c r="R413" i="18"/>
  <c r="T399" i="18"/>
  <c r="W399" i="18" s="1"/>
  <c r="T397" i="18"/>
  <c r="W397" i="18" s="1"/>
  <c r="T395" i="18"/>
  <c r="W395" i="18" s="1"/>
  <c r="T393" i="18"/>
  <c r="W393" i="18" s="1"/>
  <c r="T391" i="18"/>
  <c r="W391" i="18" s="1"/>
  <c r="T389" i="18"/>
  <c r="W389" i="18" s="1"/>
  <c r="T387" i="18"/>
  <c r="W387" i="18" s="1"/>
  <c r="R386" i="18"/>
  <c r="U386" i="18" s="1"/>
  <c r="R379" i="18"/>
  <c r="U379" i="18" s="1"/>
  <c r="R377" i="18"/>
  <c r="U377" i="18" s="1"/>
  <c r="R375" i="18"/>
  <c r="U375" i="18" s="1"/>
  <c r="R373" i="18"/>
  <c r="U373" i="18" s="1"/>
  <c r="R371" i="18"/>
  <c r="T359" i="18"/>
  <c r="W359" i="18" s="1"/>
  <c r="T357" i="18"/>
  <c r="W357" i="18" s="1"/>
  <c r="T355" i="18"/>
  <c r="W355" i="18" s="1"/>
  <c r="T353" i="18"/>
  <c r="W353" i="18" s="1"/>
  <c r="T351" i="18"/>
  <c r="W351" i="18" s="1"/>
  <c r="T349" i="18"/>
  <c r="W349" i="18" s="1"/>
  <c r="T347" i="18"/>
  <c r="W347" i="18" s="1"/>
  <c r="T345" i="18"/>
  <c r="R344" i="18"/>
  <c r="U344" i="18" s="1"/>
  <c r="R337" i="18"/>
  <c r="U337" i="18" s="1"/>
  <c r="R335" i="18"/>
  <c r="U335" i="18" s="1"/>
  <c r="R333" i="18"/>
  <c r="U333" i="18" s="1"/>
  <c r="R331" i="18"/>
  <c r="U331" i="18" s="1"/>
  <c r="R329" i="18"/>
  <c r="U329" i="18" s="1"/>
  <c r="T317" i="18"/>
  <c r="W317" i="18" s="1"/>
  <c r="T315" i="18"/>
  <c r="W315" i="18" s="1"/>
  <c r="T313" i="18"/>
  <c r="W313" i="18" s="1"/>
  <c r="T311" i="18"/>
  <c r="W311" i="18" s="1"/>
  <c r="T309" i="18"/>
  <c r="W309" i="18" s="1"/>
  <c r="T307" i="18"/>
  <c r="W307" i="18" s="1"/>
  <c r="T305" i="18"/>
  <c r="W305" i="18" s="1"/>
  <c r="T303" i="18"/>
  <c r="W303" i="18" s="1"/>
  <c r="R302" i="18"/>
  <c r="R295" i="18"/>
  <c r="U295" i="18" s="1"/>
  <c r="R293" i="18"/>
  <c r="U293" i="18" s="1"/>
  <c r="R291" i="18"/>
  <c r="U291" i="18" s="1"/>
  <c r="R289" i="18"/>
  <c r="U289" i="18" s="1"/>
  <c r="R287" i="18"/>
  <c r="U287" i="18" s="1"/>
  <c r="T275" i="18"/>
  <c r="W275" i="18" s="1"/>
  <c r="T273" i="18"/>
  <c r="W273" i="18" s="1"/>
  <c r="T271" i="18"/>
  <c r="W271" i="18" s="1"/>
  <c r="T269" i="18"/>
  <c r="W269" i="18" s="1"/>
  <c r="T267" i="18"/>
  <c r="W267" i="18" s="1"/>
  <c r="T265" i="18"/>
  <c r="W265" i="18" s="1"/>
  <c r="T263" i="18"/>
  <c r="W263" i="18" s="1"/>
  <c r="T261" i="18"/>
  <c r="R260" i="18"/>
  <c r="U260" i="18" s="1"/>
  <c r="R253" i="18"/>
  <c r="U253" i="18" s="1"/>
  <c r="R251" i="18"/>
  <c r="U251" i="18" s="1"/>
  <c r="R249" i="18"/>
  <c r="U249" i="18" s="1"/>
  <c r="R247" i="18"/>
  <c r="U247" i="18" s="1"/>
  <c r="R245" i="18"/>
  <c r="U245" i="18" s="1"/>
  <c r="T233" i="18"/>
  <c r="W233" i="18" s="1"/>
  <c r="T231" i="18"/>
  <c r="W231" i="18" s="1"/>
  <c r="T229" i="18"/>
  <c r="W229" i="18" s="1"/>
  <c r="T227" i="18"/>
  <c r="W227" i="18" s="1"/>
  <c r="T225" i="18"/>
  <c r="W225" i="18" s="1"/>
  <c r="T223" i="18"/>
  <c r="W223" i="18" s="1"/>
  <c r="T221" i="18"/>
  <c r="W221" i="18" s="1"/>
  <c r="T219" i="18"/>
  <c r="R218" i="18"/>
  <c r="R211" i="18"/>
  <c r="U211" i="18" s="1"/>
  <c r="R209" i="18"/>
  <c r="U209" i="18" s="1"/>
  <c r="R207" i="18"/>
  <c r="U207" i="18" s="1"/>
  <c r="R205" i="18"/>
  <c r="U205" i="18" s="1"/>
  <c r="R203" i="18"/>
  <c r="U203" i="18" s="1"/>
  <c r="T191" i="18"/>
  <c r="W191" i="18" s="1"/>
  <c r="T189" i="18"/>
  <c r="W189" i="18" s="1"/>
  <c r="T187" i="18"/>
  <c r="W187" i="18" s="1"/>
  <c r="T185" i="18"/>
  <c r="W185" i="18" s="1"/>
  <c r="T183" i="18"/>
  <c r="W183" i="18" s="1"/>
  <c r="T181" i="18"/>
  <c r="W181" i="18" s="1"/>
  <c r="T179" i="18"/>
  <c r="W179" i="18" s="1"/>
  <c r="T177" i="18"/>
  <c r="W177" i="18" s="1"/>
  <c r="R176" i="18"/>
  <c r="U176" i="18" s="1"/>
  <c r="T170" i="18"/>
  <c r="W170" i="18" s="1"/>
  <c r="R169" i="18"/>
  <c r="U169" i="18" s="1"/>
  <c r="T168" i="18"/>
  <c r="W168" i="18" s="1"/>
  <c r="R167" i="18"/>
  <c r="U167" i="18" s="1"/>
  <c r="T166" i="18"/>
  <c r="W166" i="18" s="1"/>
  <c r="R165" i="18"/>
  <c r="U165" i="18" s="1"/>
  <c r="T164" i="18"/>
  <c r="W164" i="18" s="1"/>
  <c r="R163" i="18"/>
  <c r="U163" i="18" s="1"/>
  <c r="T162" i="18"/>
  <c r="W162" i="18" s="1"/>
  <c r="R161" i="18"/>
  <c r="U161" i="18" s="1"/>
  <c r="T160" i="18"/>
  <c r="W160" i="18" s="1"/>
  <c r="O154" i="18"/>
  <c r="R136" i="18"/>
  <c r="U136" i="18" s="1"/>
  <c r="O112" i="18"/>
  <c r="R94" i="18"/>
  <c r="U94" i="18" s="1"/>
  <c r="O70" i="18"/>
  <c r="R52" i="18"/>
  <c r="U52" i="18" s="1"/>
  <c r="O28" i="18"/>
  <c r="R10" i="18"/>
  <c r="U10" i="18" s="1"/>
  <c r="R367" i="19"/>
  <c r="U367" i="19" s="1"/>
  <c r="Q364" i="19"/>
  <c r="T302" i="21"/>
  <c r="W302" i="21" s="1"/>
  <c r="R302" i="21"/>
  <c r="T303" i="21"/>
  <c r="W303" i="21" s="1"/>
  <c r="T305" i="21"/>
  <c r="W305" i="21" s="1"/>
  <c r="T307" i="21"/>
  <c r="W307" i="21" s="1"/>
  <c r="R220" i="21"/>
  <c r="U220" i="21" s="1"/>
  <c r="T223" i="21"/>
  <c r="W223" i="21" s="1"/>
  <c r="T225" i="21"/>
  <c r="W225" i="21" s="1"/>
  <c r="T227" i="21"/>
  <c r="W227" i="21" s="1"/>
  <c r="T229" i="21"/>
  <c r="W229" i="21" s="1"/>
  <c r="T231" i="21"/>
  <c r="W231" i="21" s="1"/>
  <c r="R233" i="21"/>
  <c r="U233" i="21" s="1"/>
  <c r="R358" i="19"/>
  <c r="U358" i="19" s="1"/>
  <c r="R356" i="19"/>
  <c r="U356" i="19" s="1"/>
  <c r="R354" i="19"/>
  <c r="U354" i="19" s="1"/>
  <c r="R352" i="19"/>
  <c r="U352" i="19" s="1"/>
  <c r="R350" i="19"/>
  <c r="U350" i="19" s="1"/>
  <c r="T338" i="19"/>
  <c r="W338" i="19" s="1"/>
  <c r="T336" i="19"/>
  <c r="W336" i="19" s="1"/>
  <c r="T334" i="19"/>
  <c r="W334" i="19" s="1"/>
  <c r="T332" i="19"/>
  <c r="W332" i="19" s="1"/>
  <c r="T330" i="19"/>
  <c r="W330" i="19" s="1"/>
  <c r="T328" i="19"/>
  <c r="W328" i="19" s="1"/>
  <c r="T326" i="19"/>
  <c r="W326" i="19" s="1"/>
  <c r="T324" i="19"/>
  <c r="W324" i="19" s="1"/>
  <c r="R323" i="19"/>
  <c r="U323" i="19" s="1"/>
  <c r="T323" i="19"/>
  <c r="R316" i="19"/>
  <c r="U316" i="19" s="1"/>
  <c r="R314" i="19"/>
  <c r="U314" i="19" s="1"/>
  <c r="R312" i="19"/>
  <c r="U312" i="19" s="1"/>
  <c r="R310" i="19"/>
  <c r="R308" i="19"/>
  <c r="U308" i="19" s="1"/>
  <c r="T296" i="19"/>
  <c r="W296" i="19" s="1"/>
  <c r="T294" i="19"/>
  <c r="W294" i="19" s="1"/>
  <c r="T292" i="19"/>
  <c r="W292" i="19" s="1"/>
  <c r="T290" i="19"/>
  <c r="W290" i="19" s="1"/>
  <c r="T288" i="19"/>
  <c r="W288" i="19" s="1"/>
  <c r="T286" i="19"/>
  <c r="W286" i="19" s="1"/>
  <c r="T284" i="19"/>
  <c r="W284" i="19" s="1"/>
  <c r="T282" i="19"/>
  <c r="W282" i="19" s="1"/>
  <c r="R281" i="19"/>
  <c r="U281" i="19" s="1"/>
  <c r="T281" i="19"/>
  <c r="W281" i="19" s="1"/>
  <c r="R274" i="19"/>
  <c r="U274" i="19" s="1"/>
  <c r="R272" i="19"/>
  <c r="U272" i="19" s="1"/>
  <c r="R270" i="19"/>
  <c r="U270" i="19" s="1"/>
  <c r="R268" i="19"/>
  <c r="U268" i="19" s="1"/>
  <c r="R266" i="19"/>
  <c r="U266" i="19" s="1"/>
  <c r="T254" i="19"/>
  <c r="W254" i="19" s="1"/>
  <c r="T252" i="19"/>
  <c r="W252" i="19" s="1"/>
  <c r="T250" i="19"/>
  <c r="W250" i="19" s="1"/>
  <c r="T248" i="19"/>
  <c r="W248" i="19" s="1"/>
  <c r="T246" i="19"/>
  <c r="W246" i="19" s="1"/>
  <c r="T244" i="19"/>
  <c r="W244" i="19" s="1"/>
  <c r="T242" i="19"/>
  <c r="W242" i="19" s="1"/>
  <c r="T240" i="19"/>
  <c r="W240" i="19" s="1"/>
  <c r="R239" i="19"/>
  <c r="U239" i="19" s="1"/>
  <c r="T239" i="19"/>
  <c r="W239" i="19" s="1"/>
  <c r="R232" i="19"/>
  <c r="U232" i="19" s="1"/>
  <c r="R230" i="19"/>
  <c r="U230" i="19" s="1"/>
  <c r="R228" i="19"/>
  <c r="U228" i="19" s="1"/>
  <c r="R226" i="19"/>
  <c r="U226" i="19" s="1"/>
  <c r="R224" i="19"/>
  <c r="U224" i="19" s="1"/>
  <c r="T212" i="19"/>
  <c r="W212" i="19" s="1"/>
  <c r="T210" i="19"/>
  <c r="W210" i="19" s="1"/>
  <c r="T208" i="19"/>
  <c r="W208" i="19" s="1"/>
  <c r="T206" i="19"/>
  <c r="W206" i="19" s="1"/>
  <c r="T204" i="19"/>
  <c r="W204" i="19" s="1"/>
  <c r="T202" i="19"/>
  <c r="W202" i="19" s="1"/>
  <c r="T200" i="19"/>
  <c r="W200" i="19" s="1"/>
  <c r="T198" i="19"/>
  <c r="W198" i="19" s="1"/>
  <c r="R197" i="19"/>
  <c r="U197" i="19" s="1"/>
  <c r="T197" i="19"/>
  <c r="W197" i="19" s="1"/>
  <c r="R190" i="19"/>
  <c r="U190" i="19" s="1"/>
  <c r="R188" i="19"/>
  <c r="U188" i="19" s="1"/>
  <c r="R186" i="19"/>
  <c r="U186" i="19" s="1"/>
  <c r="R184" i="19"/>
  <c r="U184" i="19" s="1"/>
  <c r="R182" i="19"/>
  <c r="U182" i="19" s="1"/>
  <c r="T170" i="19"/>
  <c r="W170" i="19" s="1"/>
  <c r="T168" i="19"/>
  <c r="W168" i="19" s="1"/>
  <c r="T166" i="19"/>
  <c r="W166" i="19" s="1"/>
  <c r="T164" i="19"/>
  <c r="W164" i="19" s="1"/>
  <c r="T162" i="19"/>
  <c r="W162" i="19" s="1"/>
  <c r="T160" i="19"/>
  <c r="W160" i="19" s="1"/>
  <c r="T158" i="19"/>
  <c r="W158" i="19" s="1"/>
  <c r="T156" i="19"/>
  <c r="W156" i="19" s="1"/>
  <c r="R155" i="19"/>
  <c r="T155" i="19"/>
  <c r="W155" i="19" s="1"/>
  <c r="R148" i="19"/>
  <c r="U148" i="19" s="1"/>
  <c r="R146" i="19"/>
  <c r="U146" i="19" s="1"/>
  <c r="R144" i="19"/>
  <c r="U144" i="19" s="1"/>
  <c r="R142" i="19"/>
  <c r="U142" i="19" s="1"/>
  <c r="R140" i="19"/>
  <c r="U140" i="19" s="1"/>
  <c r="R128" i="19"/>
  <c r="U128" i="19" s="1"/>
  <c r="R126" i="19"/>
  <c r="U126" i="19" s="1"/>
  <c r="R124" i="19"/>
  <c r="U124" i="19" s="1"/>
  <c r="R122" i="19"/>
  <c r="U122" i="19" s="1"/>
  <c r="T120" i="19"/>
  <c r="W120" i="19" s="1"/>
  <c r="T106" i="19"/>
  <c r="W106" i="19" s="1"/>
  <c r="T104" i="19"/>
  <c r="W104" i="19" s="1"/>
  <c r="T102" i="19"/>
  <c r="W102" i="19" s="1"/>
  <c r="T100" i="19"/>
  <c r="W100" i="19" s="1"/>
  <c r="T98" i="19"/>
  <c r="W98" i="19" s="1"/>
  <c r="T96" i="19"/>
  <c r="R86" i="19"/>
  <c r="U86" i="19" s="1"/>
  <c r="R84" i="19"/>
  <c r="U84" i="19" s="1"/>
  <c r="R82" i="19"/>
  <c r="U82" i="19" s="1"/>
  <c r="R80" i="19"/>
  <c r="U80" i="19" s="1"/>
  <c r="R78" i="19"/>
  <c r="U78" i="19" s="1"/>
  <c r="R76" i="19"/>
  <c r="U76" i="19" s="1"/>
  <c r="R74" i="19"/>
  <c r="U74" i="19" s="1"/>
  <c r="T64" i="19"/>
  <c r="W64" i="19" s="1"/>
  <c r="T62" i="19"/>
  <c r="W62" i="19" s="1"/>
  <c r="T60" i="19"/>
  <c r="W60" i="19" s="1"/>
  <c r="T58" i="19"/>
  <c r="W58" i="19" s="1"/>
  <c r="T56" i="19"/>
  <c r="W56" i="19" s="1"/>
  <c r="T54" i="19"/>
  <c r="W54" i="19" s="1"/>
  <c r="R44" i="19"/>
  <c r="U44" i="19" s="1"/>
  <c r="R42" i="19"/>
  <c r="U42" i="19" s="1"/>
  <c r="R40" i="19"/>
  <c r="U40" i="19" s="1"/>
  <c r="R38" i="19"/>
  <c r="U38" i="19" s="1"/>
  <c r="R36" i="19"/>
  <c r="U36" i="19" s="1"/>
  <c r="R34" i="19"/>
  <c r="U34" i="19" s="1"/>
  <c r="R32" i="19"/>
  <c r="T22" i="19"/>
  <c r="W22" i="19" s="1"/>
  <c r="T20" i="19"/>
  <c r="W20" i="19" s="1"/>
  <c r="T18" i="19"/>
  <c r="W18" i="19" s="1"/>
  <c r="T16" i="19"/>
  <c r="W16" i="19" s="1"/>
  <c r="T14" i="19"/>
  <c r="W14" i="19" s="1"/>
  <c r="T12" i="19"/>
  <c r="W12" i="19" s="1"/>
  <c r="R422" i="20"/>
  <c r="U422" i="20" s="1"/>
  <c r="R420" i="20"/>
  <c r="U420" i="20" s="1"/>
  <c r="R418" i="20"/>
  <c r="U418" i="20" s="1"/>
  <c r="R416" i="20"/>
  <c r="U416" i="20" s="1"/>
  <c r="R414" i="20"/>
  <c r="U414" i="20" s="1"/>
  <c r="R412" i="20"/>
  <c r="U412" i="20" s="1"/>
  <c r="R410" i="20"/>
  <c r="U410" i="20" s="1"/>
  <c r="T400" i="20"/>
  <c r="W400" i="20" s="1"/>
  <c r="T398" i="20"/>
  <c r="W398" i="20" s="1"/>
  <c r="T396" i="20"/>
  <c r="W396" i="20" s="1"/>
  <c r="T394" i="20"/>
  <c r="W394" i="20" s="1"/>
  <c r="T392" i="20"/>
  <c r="W392" i="20" s="1"/>
  <c r="T390" i="20"/>
  <c r="R387" i="20"/>
  <c r="U387" i="20" s="1"/>
  <c r="R365" i="20"/>
  <c r="U365" i="20" s="1"/>
  <c r="R357" i="20"/>
  <c r="U357" i="20" s="1"/>
  <c r="R353" i="20"/>
  <c r="T337" i="20"/>
  <c r="W337" i="20" s="1"/>
  <c r="T335" i="20"/>
  <c r="W335" i="20" s="1"/>
  <c r="T333" i="20"/>
  <c r="W333" i="20" s="1"/>
  <c r="T331" i="20"/>
  <c r="W331" i="20" s="1"/>
  <c r="T329" i="20"/>
  <c r="W329" i="20" s="1"/>
  <c r="T327" i="20"/>
  <c r="W327" i="20" s="1"/>
  <c r="R295" i="20"/>
  <c r="U295" i="20" s="1"/>
  <c r="R291" i="20"/>
  <c r="U291" i="20" s="1"/>
  <c r="R287" i="20"/>
  <c r="U287" i="20" s="1"/>
  <c r="R251" i="20"/>
  <c r="U251" i="20" s="1"/>
  <c r="R247" i="20"/>
  <c r="U247" i="20" s="1"/>
  <c r="R243" i="20"/>
  <c r="U243" i="20" s="1"/>
  <c r="T219" i="20"/>
  <c r="W219" i="20" s="1"/>
  <c r="R218" i="20"/>
  <c r="U218" i="20" s="1"/>
  <c r="T191" i="20"/>
  <c r="W191" i="20" s="1"/>
  <c r="T189" i="20"/>
  <c r="W189" i="20" s="1"/>
  <c r="T187" i="20"/>
  <c r="W187" i="20" s="1"/>
  <c r="T185" i="20"/>
  <c r="W185" i="20" s="1"/>
  <c r="T183" i="20"/>
  <c r="W183" i="20" s="1"/>
  <c r="T181" i="20"/>
  <c r="W181" i="20" s="1"/>
  <c r="T179" i="20"/>
  <c r="W179" i="20" s="1"/>
  <c r="T177" i="20"/>
  <c r="W177" i="20" s="1"/>
  <c r="R176" i="20"/>
  <c r="T176" i="20"/>
  <c r="W176" i="20" s="1"/>
  <c r="R169" i="20"/>
  <c r="U169" i="20" s="1"/>
  <c r="R167" i="20"/>
  <c r="U167" i="20" s="1"/>
  <c r="R165" i="20"/>
  <c r="U165" i="20" s="1"/>
  <c r="R163" i="20"/>
  <c r="U163" i="20" s="1"/>
  <c r="R161" i="20"/>
  <c r="U161" i="20" s="1"/>
  <c r="T149" i="20"/>
  <c r="W149" i="20" s="1"/>
  <c r="T147" i="20"/>
  <c r="W147" i="20" s="1"/>
  <c r="T145" i="20"/>
  <c r="W145" i="20" s="1"/>
  <c r="T143" i="20"/>
  <c r="W143" i="20" s="1"/>
  <c r="T141" i="20"/>
  <c r="W141" i="20" s="1"/>
  <c r="T139" i="20"/>
  <c r="W139" i="20" s="1"/>
  <c r="T137" i="20"/>
  <c r="W137" i="20" s="1"/>
  <c r="T135" i="20"/>
  <c r="W135" i="20" s="1"/>
  <c r="R134" i="20"/>
  <c r="U134" i="20" s="1"/>
  <c r="T134" i="20"/>
  <c r="W134" i="20" s="1"/>
  <c r="R127" i="20"/>
  <c r="U127" i="20" s="1"/>
  <c r="R125" i="20"/>
  <c r="U125" i="20" s="1"/>
  <c r="R123" i="20"/>
  <c r="U123" i="20" s="1"/>
  <c r="R121" i="20"/>
  <c r="U121" i="20" s="1"/>
  <c r="R119" i="20"/>
  <c r="U119" i="20" s="1"/>
  <c r="T107" i="20"/>
  <c r="W107" i="20" s="1"/>
  <c r="T105" i="20"/>
  <c r="W105" i="20" s="1"/>
  <c r="T103" i="20"/>
  <c r="W103" i="20" s="1"/>
  <c r="T101" i="20"/>
  <c r="W101" i="20" s="1"/>
  <c r="T99" i="20"/>
  <c r="W99" i="20" s="1"/>
  <c r="T97" i="20"/>
  <c r="W97" i="20" s="1"/>
  <c r="T95" i="20"/>
  <c r="W95" i="20" s="1"/>
  <c r="T93" i="20"/>
  <c r="W93" i="20" s="1"/>
  <c r="R92" i="20"/>
  <c r="U92" i="20" s="1"/>
  <c r="T92" i="20"/>
  <c r="W92" i="20" s="1"/>
  <c r="R85" i="20"/>
  <c r="U85" i="20" s="1"/>
  <c r="R83" i="20"/>
  <c r="U83" i="20" s="1"/>
  <c r="R81" i="20"/>
  <c r="U81" i="20" s="1"/>
  <c r="R79" i="20"/>
  <c r="U79" i="20" s="1"/>
  <c r="R77" i="20"/>
  <c r="T65" i="20"/>
  <c r="W65" i="20" s="1"/>
  <c r="T63" i="20"/>
  <c r="W63" i="20" s="1"/>
  <c r="T61" i="20"/>
  <c r="W61" i="20" s="1"/>
  <c r="T59" i="20"/>
  <c r="W59" i="20" s="1"/>
  <c r="T57" i="20"/>
  <c r="W57" i="20" s="1"/>
  <c r="T55" i="20"/>
  <c r="W55" i="20" s="1"/>
  <c r="T53" i="20"/>
  <c r="W53" i="20" s="1"/>
  <c r="T51" i="20"/>
  <c r="W51" i="20" s="1"/>
  <c r="R50" i="20"/>
  <c r="T50" i="20"/>
  <c r="W50" i="20" s="1"/>
  <c r="R43" i="20"/>
  <c r="U43" i="20" s="1"/>
  <c r="R41" i="20"/>
  <c r="U41" i="20" s="1"/>
  <c r="R39" i="20"/>
  <c r="U39" i="20" s="1"/>
  <c r="R37" i="20"/>
  <c r="U37" i="20" s="1"/>
  <c r="R35" i="20"/>
  <c r="U35" i="20" s="1"/>
  <c r="T23" i="20"/>
  <c r="W23" i="20" s="1"/>
  <c r="T21" i="20"/>
  <c r="W21" i="20" s="1"/>
  <c r="T19" i="20"/>
  <c r="W19" i="20" s="1"/>
  <c r="T17" i="20"/>
  <c r="W17" i="20" s="1"/>
  <c r="T15" i="20"/>
  <c r="W15" i="20" s="1"/>
  <c r="T13" i="20"/>
  <c r="W13" i="20" s="1"/>
  <c r="T11" i="20"/>
  <c r="W11" i="20" s="1"/>
  <c r="T9" i="20"/>
  <c r="W9" i="20" s="1"/>
  <c r="R8" i="20"/>
  <c r="U8" i="20" s="1"/>
  <c r="T8" i="20"/>
  <c r="R421" i="21"/>
  <c r="U421" i="21" s="1"/>
  <c r="R419" i="21"/>
  <c r="U419" i="21" s="1"/>
  <c r="R417" i="21"/>
  <c r="U417" i="21" s="1"/>
  <c r="R415" i="21"/>
  <c r="U415" i="21" s="1"/>
  <c r="R413" i="21"/>
  <c r="U413" i="21" s="1"/>
  <c r="T401" i="21"/>
  <c r="W401" i="21" s="1"/>
  <c r="T399" i="21"/>
  <c r="W399" i="21" s="1"/>
  <c r="T397" i="21"/>
  <c r="W397" i="21" s="1"/>
  <c r="T395" i="21"/>
  <c r="W395" i="21" s="1"/>
  <c r="T393" i="21"/>
  <c r="W393" i="21" s="1"/>
  <c r="T391" i="21"/>
  <c r="W391" i="21" s="1"/>
  <c r="T389" i="21"/>
  <c r="W389" i="21" s="1"/>
  <c r="T387" i="21"/>
  <c r="W387" i="21" s="1"/>
  <c r="R386" i="21"/>
  <c r="T386" i="21"/>
  <c r="W386" i="21" s="1"/>
  <c r="R379" i="21"/>
  <c r="U379" i="21" s="1"/>
  <c r="R377" i="21"/>
  <c r="U377" i="21" s="1"/>
  <c r="R375" i="21"/>
  <c r="U375" i="21" s="1"/>
  <c r="R373" i="21"/>
  <c r="U373" i="21" s="1"/>
  <c r="R371" i="21"/>
  <c r="T359" i="21"/>
  <c r="W359" i="21" s="1"/>
  <c r="T357" i="21"/>
  <c r="W357" i="21" s="1"/>
  <c r="T355" i="21"/>
  <c r="W355" i="21" s="1"/>
  <c r="T353" i="21"/>
  <c r="W353" i="21" s="1"/>
  <c r="T351" i="21"/>
  <c r="W351" i="21" s="1"/>
  <c r="T349" i="21"/>
  <c r="W349" i="21" s="1"/>
  <c r="T347" i="21"/>
  <c r="W347" i="21" s="1"/>
  <c r="T345" i="21"/>
  <c r="W345" i="21" s="1"/>
  <c r="R344" i="21"/>
  <c r="U344" i="21" s="1"/>
  <c r="T344" i="21"/>
  <c r="R337" i="21"/>
  <c r="U337" i="21" s="1"/>
  <c r="R335" i="21"/>
  <c r="U335" i="21" s="1"/>
  <c r="R333" i="21"/>
  <c r="U333" i="21" s="1"/>
  <c r="R331" i="21"/>
  <c r="U331" i="21" s="1"/>
  <c r="R329" i="21"/>
  <c r="U329" i="21" s="1"/>
  <c r="T317" i="21"/>
  <c r="W317" i="21" s="1"/>
  <c r="T315" i="21"/>
  <c r="W315" i="21" s="1"/>
  <c r="T313" i="21"/>
  <c r="W313" i="21" s="1"/>
  <c r="T311" i="21"/>
  <c r="W311" i="21" s="1"/>
  <c r="R304" i="21"/>
  <c r="U304" i="21" s="1"/>
  <c r="O280" i="21"/>
  <c r="Q280" i="21"/>
  <c r="O217" i="21"/>
  <c r="Q217" i="21"/>
  <c r="R285" i="21"/>
  <c r="U285" i="21" s="1"/>
  <c r="R287" i="21"/>
  <c r="U287" i="21" s="1"/>
  <c r="R289" i="21"/>
  <c r="U289" i="21" s="1"/>
  <c r="R291" i="21"/>
  <c r="U291" i="21" s="1"/>
  <c r="R293" i="21"/>
  <c r="U293" i="21" s="1"/>
  <c r="R295" i="21"/>
  <c r="T260" i="21"/>
  <c r="W260" i="21" s="1"/>
  <c r="R260" i="21"/>
  <c r="U260" i="21" s="1"/>
  <c r="T261" i="21"/>
  <c r="W261" i="21" s="1"/>
  <c r="T263" i="21"/>
  <c r="W263" i="21" s="1"/>
  <c r="T265" i="21"/>
  <c r="W265" i="21" s="1"/>
  <c r="T267" i="21"/>
  <c r="W267" i="21" s="1"/>
  <c r="T269" i="21"/>
  <c r="W269" i="21" s="1"/>
  <c r="T271" i="21"/>
  <c r="W271" i="21" s="1"/>
  <c r="T273" i="21"/>
  <c r="W273" i="21" s="1"/>
  <c r="T275" i="21"/>
  <c r="W275" i="21" s="1"/>
  <c r="R243" i="21"/>
  <c r="R245" i="21"/>
  <c r="U245" i="21" s="1"/>
  <c r="R247" i="21"/>
  <c r="U247" i="21" s="1"/>
  <c r="R249" i="21"/>
  <c r="R251" i="21"/>
  <c r="U251" i="21" s="1"/>
  <c r="R253" i="21"/>
  <c r="U253" i="21" s="1"/>
  <c r="T254" i="21"/>
  <c r="W254" i="21" s="1"/>
  <c r="O322" i="21"/>
  <c r="Q322" i="21"/>
  <c r="U295" i="21"/>
  <c r="R262" i="21"/>
  <c r="U262" i="21" s="1"/>
  <c r="U249" i="21"/>
  <c r="T71" i="21"/>
  <c r="W71" i="21" s="1"/>
  <c r="T72" i="21"/>
  <c r="W72" i="21" s="1"/>
  <c r="T74" i="21"/>
  <c r="W74" i="21" s="1"/>
  <c r="R76" i="21"/>
  <c r="U76" i="21" s="1"/>
  <c r="R78" i="21"/>
  <c r="U78" i="21" s="1"/>
  <c r="R80" i="21"/>
  <c r="U80" i="21" s="1"/>
  <c r="R82" i="21"/>
  <c r="U82" i="21" s="1"/>
  <c r="T84" i="21"/>
  <c r="W84" i="21" s="1"/>
  <c r="T50" i="21"/>
  <c r="W50" i="21" s="1"/>
  <c r="R50" i="21"/>
  <c r="U50" i="21" s="1"/>
  <c r="R54" i="21"/>
  <c r="U54" i="21" s="1"/>
  <c r="R56" i="21"/>
  <c r="U56" i="21" s="1"/>
  <c r="R58" i="21"/>
  <c r="U58" i="21" s="1"/>
  <c r="R60" i="21"/>
  <c r="U60" i="21" s="1"/>
  <c r="R62" i="21"/>
  <c r="U62" i="21" s="1"/>
  <c r="T64" i="21"/>
  <c r="W64" i="21" s="1"/>
  <c r="T407" i="22"/>
  <c r="W407" i="22" s="1"/>
  <c r="R408" i="22"/>
  <c r="U408" i="22" s="1"/>
  <c r="R410" i="22"/>
  <c r="U410" i="22" s="1"/>
  <c r="R412" i="22"/>
  <c r="U412" i="22" s="1"/>
  <c r="R414" i="22"/>
  <c r="U414" i="22" s="1"/>
  <c r="R416" i="22"/>
  <c r="U416" i="22" s="1"/>
  <c r="R418" i="22"/>
  <c r="U418" i="22" s="1"/>
  <c r="R420" i="22"/>
  <c r="U420" i="22" s="1"/>
  <c r="R422" i="22"/>
  <c r="U422" i="22" s="1"/>
  <c r="T197" i="22"/>
  <c r="W197" i="22" s="1"/>
  <c r="R198" i="22"/>
  <c r="U198" i="22" s="1"/>
  <c r="T113" i="22"/>
  <c r="R114" i="22"/>
  <c r="U114" i="22" s="1"/>
  <c r="R51" i="22"/>
  <c r="U51" i="22" s="1"/>
  <c r="R53" i="22"/>
  <c r="U53" i="22" s="1"/>
  <c r="R57" i="22"/>
  <c r="U57" i="22" s="1"/>
  <c r="T190" i="21"/>
  <c r="W190" i="21" s="1"/>
  <c r="T188" i="21"/>
  <c r="W188" i="21" s="1"/>
  <c r="T181" i="21"/>
  <c r="W181" i="21" s="1"/>
  <c r="T160" i="21"/>
  <c r="W160" i="21" s="1"/>
  <c r="T158" i="21"/>
  <c r="W158" i="21" s="1"/>
  <c r="T148" i="21"/>
  <c r="W148" i="21" s="1"/>
  <c r="T146" i="21"/>
  <c r="W146" i="21" s="1"/>
  <c r="R144" i="21"/>
  <c r="U144" i="21" s="1"/>
  <c r="R142" i="21"/>
  <c r="U142" i="21" s="1"/>
  <c r="R140" i="21"/>
  <c r="U140" i="21" s="1"/>
  <c r="R134" i="21"/>
  <c r="U134" i="21" s="1"/>
  <c r="T134" i="21"/>
  <c r="W134" i="21" s="1"/>
  <c r="T128" i="21"/>
  <c r="W128" i="21" s="1"/>
  <c r="R127" i="21"/>
  <c r="U127" i="21" s="1"/>
  <c r="T125" i="21"/>
  <c r="W125" i="21" s="1"/>
  <c r="R92" i="21"/>
  <c r="U92" i="21" s="1"/>
  <c r="O91" i="21"/>
  <c r="Q91" i="21"/>
  <c r="T51" i="21"/>
  <c r="W51" i="21" s="1"/>
  <c r="O427" i="22"/>
  <c r="Q301" i="22"/>
  <c r="T295" i="22"/>
  <c r="W295" i="22" s="1"/>
  <c r="O301" i="22"/>
  <c r="R275" i="22"/>
  <c r="U275" i="22" s="1"/>
  <c r="R273" i="22"/>
  <c r="U273" i="22" s="1"/>
  <c r="R271" i="22"/>
  <c r="U271" i="22" s="1"/>
  <c r="R269" i="22"/>
  <c r="U269" i="22" s="1"/>
  <c r="R252" i="22"/>
  <c r="U252" i="22" s="1"/>
  <c r="T230" i="22"/>
  <c r="W230" i="22" s="1"/>
  <c r="T226" i="22"/>
  <c r="W226" i="22" s="1"/>
  <c r="R218" i="22"/>
  <c r="U218" i="22" s="1"/>
  <c r="O238" i="22"/>
  <c r="T190" i="22"/>
  <c r="W190" i="22" s="1"/>
  <c r="T186" i="22"/>
  <c r="W186" i="22" s="1"/>
  <c r="T182" i="22"/>
  <c r="W182" i="22" s="1"/>
  <c r="T178" i="22"/>
  <c r="W178" i="22" s="1"/>
  <c r="T176" i="22"/>
  <c r="W176" i="22" s="1"/>
  <c r="T146" i="22"/>
  <c r="W146" i="22" s="1"/>
  <c r="T142" i="22"/>
  <c r="W142" i="22" s="1"/>
  <c r="R134" i="22"/>
  <c r="U134" i="22" s="1"/>
  <c r="O154" i="22"/>
  <c r="T106" i="22"/>
  <c r="W106" i="22" s="1"/>
  <c r="T102" i="22"/>
  <c r="W102" i="22" s="1"/>
  <c r="T98" i="22"/>
  <c r="W98" i="22" s="1"/>
  <c r="T94" i="22"/>
  <c r="W94" i="22" s="1"/>
  <c r="T92" i="22"/>
  <c r="W92" i="22" s="1"/>
  <c r="Q49" i="22"/>
  <c r="T119" i="21"/>
  <c r="W119" i="21" s="1"/>
  <c r="T121" i="21"/>
  <c r="W121" i="21" s="1"/>
  <c r="T123" i="21"/>
  <c r="W123" i="21" s="1"/>
  <c r="R94" i="21"/>
  <c r="U94" i="21" s="1"/>
  <c r="T97" i="21"/>
  <c r="W97" i="21" s="1"/>
  <c r="T99" i="21"/>
  <c r="W99" i="21" s="1"/>
  <c r="T101" i="21"/>
  <c r="W101" i="21" s="1"/>
  <c r="T103" i="21"/>
  <c r="W103" i="21" s="1"/>
  <c r="R105" i="21"/>
  <c r="U105" i="21" s="1"/>
  <c r="R107" i="21"/>
  <c r="U107" i="21" s="1"/>
  <c r="T31" i="21"/>
  <c r="W31" i="21" s="1"/>
  <c r="T33" i="21"/>
  <c r="W33" i="21" s="1"/>
  <c r="T35" i="21"/>
  <c r="W35" i="21" s="1"/>
  <c r="T37" i="21"/>
  <c r="W37" i="21" s="1"/>
  <c r="T39" i="21"/>
  <c r="W39" i="21" s="1"/>
  <c r="T41" i="21"/>
  <c r="W41" i="21" s="1"/>
  <c r="T43" i="21"/>
  <c r="W43" i="21" s="1"/>
  <c r="R9" i="21"/>
  <c r="U9" i="21" s="1"/>
  <c r="T8" i="21"/>
  <c r="W8" i="21" s="1"/>
  <c r="R8" i="21"/>
  <c r="U8" i="21" s="1"/>
  <c r="T11" i="21"/>
  <c r="W11" i="21" s="1"/>
  <c r="T13" i="21"/>
  <c r="W13" i="21" s="1"/>
  <c r="T15" i="21"/>
  <c r="W15" i="21" s="1"/>
  <c r="T17" i="21"/>
  <c r="W17" i="21" s="1"/>
  <c r="T19" i="21"/>
  <c r="W19" i="21" s="1"/>
  <c r="T21" i="21"/>
  <c r="W21" i="21" s="1"/>
  <c r="R23" i="21"/>
  <c r="U23" i="21" s="1"/>
  <c r="T386" i="22"/>
  <c r="R386" i="22"/>
  <c r="U386" i="22" s="1"/>
  <c r="T387" i="22"/>
  <c r="W387" i="22" s="1"/>
  <c r="T389" i="22"/>
  <c r="W389" i="22" s="1"/>
  <c r="T391" i="22"/>
  <c r="W391" i="22" s="1"/>
  <c r="T393" i="22"/>
  <c r="W393" i="22" s="1"/>
  <c r="T395" i="22"/>
  <c r="W395" i="22" s="1"/>
  <c r="T397" i="22"/>
  <c r="W397" i="22" s="1"/>
  <c r="T399" i="22"/>
  <c r="W399" i="22" s="1"/>
  <c r="T401" i="22"/>
  <c r="W401" i="22" s="1"/>
  <c r="T366" i="22"/>
  <c r="W366" i="22" s="1"/>
  <c r="T368" i="22"/>
  <c r="W368" i="22" s="1"/>
  <c r="T370" i="22"/>
  <c r="W370" i="22" s="1"/>
  <c r="T372" i="22"/>
  <c r="W372" i="22" s="1"/>
  <c r="T374" i="22"/>
  <c r="W374" i="22" s="1"/>
  <c r="T376" i="22"/>
  <c r="W376" i="22" s="1"/>
  <c r="T378" i="22"/>
  <c r="W378" i="22" s="1"/>
  <c r="T380" i="22"/>
  <c r="W380" i="22" s="1"/>
  <c r="T344" i="22"/>
  <c r="R344" i="22"/>
  <c r="U344" i="22" s="1"/>
  <c r="T345" i="22"/>
  <c r="W345" i="22" s="1"/>
  <c r="T347" i="22"/>
  <c r="W347" i="22" s="1"/>
  <c r="T349" i="22"/>
  <c r="W349" i="22" s="1"/>
  <c r="T351" i="22"/>
  <c r="W351" i="22" s="1"/>
  <c r="T353" i="22"/>
  <c r="W353" i="22" s="1"/>
  <c r="T355" i="22"/>
  <c r="W355" i="22" s="1"/>
  <c r="T357" i="22"/>
  <c r="W357" i="22" s="1"/>
  <c r="T359" i="22"/>
  <c r="W359" i="22" s="1"/>
  <c r="T324" i="22"/>
  <c r="W324" i="22" s="1"/>
  <c r="T326" i="22"/>
  <c r="W326" i="22" s="1"/>
  <c r="T328" i="22"/>
  <c r="W328" i="22" s="1"/>
  <c r="T330" i="22"/>
  <c r="W330" i="22" s="1"/>
  <c r="T332" i="22"/>
  <c r="W332" i="22" s="1"/>
  <c r="T334" i="22"/>
  <c r="W334" i="22" s="1"/>
  <c r="T336" i="22"/>
  <c r="W336" i="22" s="1"/>
  <c r="T338" i="22"/>
  <c r="W338" i="22" s="1"/>
  <c r="T302" i="22"/>
  <c r="W302" i="22" s="1"/>
  <c r="T303" i="22"/>
  <c r="T305" i="22"/>
  <c r="W305" i="22" s="1"/>
  <c r="T307" i="22"/>
  <c r="W307" i="22" s="1"/>
  <c r="T309" i="22"/>
  <c r="W309" i="22" s="1"/>
  <c r="T311" i="22"/>
  <c r="W311" i="22" s="1"/>
  <c r="T313" i="22"/>
  <c r="W313" i="22" s="1"/>
  <c r="T315" i="22"/>
  <c r="W315" i="22" s="1"/>
  <c r="T317" i="22"/>
  <c r="W317" i="22" s="1"/>
  <c r="T281" i="22"/>
  <c r="T283" i="22"/>
  <c r="W283" i="22" s="1"/>
  <c r="T285" i="22"/>
  <c r="W285" i="22" s="1"/>
  <c r="T287" i="22"/>
  <c r="W287" i="22" s="1"/>
  <c r="T289" i="22"/>
  <c r="W289" i="22" s="1"/>
  <c r="T291" i="22"/>
  <c r="W291" i="22" s="1"/>
  <c r="R293" i="22"/>
  <c r="U293" i="22" s="1"/>
  <c r="R295" i="22"/>
  <c r="U295" i="22" s="1"/>
  <c r="R296" i="22"/>
  <c r="U296" i="22" s="1"/>
  <c r="R260" i="22"/>
  <c r="U260" i="22" s="1"/>
  <c r="R261" i="22"/>
  <c r="U261" i="22" s="1"/>
  <c r="T270" i="22"/>
  <c r="W270" i="22" s="1"/>
  <c r="T272" i="22"/>
  <c r="W272" i="22" s="1"/>
  <c r="T274" i="22"/>
  <c r="W274" i="22" s="1"/>
  <c r="T239" i="22"/>
  <c r="W239" i="22" s="1"/>
  <c r="R240" i="22"/>
  <c r="U240" i="22" s="1"/>
  <c r="R242" i="22"/>
  <c r="U242" i="22" s="1"/>
  <c r="R246" i="22"/>
  <c r="U246" i="22" s="1"/>
  <c r="R250" i="22"/>
  <c r="U250" i="22" s="1"/>
  <c r="R254" i="22"/>
  <c r="U254" i="22" s="1"/>
  <c r="T155" i="22"/>
  <c r="W155" i="22" s="1"/>
  <c r="R156" i="22"/>
  <c r="U156" i="22" s="1"/>
  <c r="T71" i="22"/>
  <c r="R72" i="22"/>
  <c r="U72" i="22" s="1"/>
  <c r="O28" i="21"/>
  <c r="O196" i="22"/>
  <c r="O112" i="22"/>
  <c r="W8" i="20"/>
  <c r="U50" i="20"/>
  <c r="U353" i="20"/>
  <c r="W390" i="20"/>
  <c r="U32" i="19"/>
  <c r="W96" i="19"/>
  <c r="W323" i="19"/>
  <c r="W219" i="18"/>
  <c r="W261" i="18"/>
  <c r="W345" i="18"/>
  <c r="U8" i="17"/>
  <c r="W155" i="14"/>
  <c r="W32" i="12"/>
  <c r="U186" i="12"/>
  <c r="U375" i="10"/>
  <c r="U33" i="9"/>
  <c r="W76" i="8"/>
  <c r="U198" i="11"/>
  <c r="W8" i="10"/>
  <c r="W281" i="22"/>
  <c r="U310" i="19"/>
  <c r="U73" i="15"/>
  <c r="U325" i="15"/>
  <c r="U176" i="20"/>
  <c r="U155" i="19"/>
  <c r="U218" i="18"/>
  <c r="U302" i="18"/>
  <c r="U71" i="16"/>
  <c r="U155" i="14"/>
  <c r="U264" i="14"/>
  <c r="W368" i="14"/>
  <c r="W408" i="14"/>
  <c r="W76" i="13"/>
  <c r="U113" i="13"/>
  <c r="U18" i="12"/>
  <c r="W240" i="12"/>
  <c r="U287" i="12"/>
  <c r="W260" i="11"/>
  <c r="U413" i="11"/>
  <c r="W116" i="9"/>
  <c r="U134" i="8"/>
  <c r="U8" i="10"/>
  <c r="U50" i="10"/>
  <c r="U77" i="20"/>
  <c r="U413" i="18"/>
  <c r="U371" i="18"/>
  <c r="U199" i="16"/>
  <c r="U283" i="16"/>
  <c r="U367" i="16"/>
  <c r="U31" i="15"/>
  <c r="U115" i="15"/>
  <c r="U199" i="15"/>
  <c r="U283" i="15"/>
  <c r="U367" i="15"/>
  <c r="U31" i="14"/>
  <c r="U115" i="14"/>
  <c r="M220" i="96"/>
  <c r="M264" i="96"/>
  <c r="B245" i="96"/>
  <c r="U371" i="21"/>
  <c r="U366" i="12"/>
  <c r="U114" i="11"/>
  <c r="T280" i="20"/>
  <c r="R409" i="8"/>
  <c r="U409" i="8" s="1"/>
  <c r="T407" i="8"/>
  <c r="W407" i="8" s="1"/>
  <c r="R415" i="8"/>
  <c r="U415" i="8" s="1"/>
  <c r="R417" i="8"/>
  <c r="U417" i="8" s="1"/>
  <c r="R419" i="8"/>
  <c r="U419" i="8" s="1"/>
  <c r="R421" i="8"/>
  <c r="U421" i="8" s="1"/>
  <c r="R344" i="8"/>
  <c r="U344" i="8" s="1"/>
  <c r="T349" i="8"/>
  <c r="W349" i="8" s="1"/>
  <c r="T351" i="8"/>
  <c r="W351" i="8" s="1"/>
  <c r="T353" i="8"/>
  <c r="W353" i="8" s="1"/>
  <c r="T355" i="8"/>
  <c r="W355" i="8" s="1"/>
  <c r="T357" i="8"/>
  <c r="W357" i="8" s="1"/>
  <c r="T359" i="8"/>
  <c r="W359" i="8" s="1"/>
  <c r="R327" i="8"/>
  <c r="U327" i="8" s="1"/>
  <c r="R329" i="8"/>
  <c r="U329" i="8" s="1"/>
  <c r="R331" i="8"/>
  <c r="U331" i="8" s="1"/>
  <c r="Q343" i="8"/>
  <c r="T281" i="8"/>
  <c r="W281" i="8" s="1"/>
  <c r="R283" i="8"/>
  <c r="U283" i="8" s="1"/>
  <c r="R295" i="8"/>
  <c r="U295" i="8" s="1"/>
  <c r="R220" i="8"/>
  <c r="T229" i="8"/>
  <c r="T231" i="8"/>
  <c r="W231" i="8" s="1"/>
  <c r="T233" i="8"/>
  <c r="W233" i="8" s="1"/>
  <c r="Q175" i="8"/>
  <c r="R117" i="8"/>
  <c r="U117" i="8" s="1"/>
  <c r="R119" i="8"/>
  <c r="U119" i="8" s="1"/>
  <c r="R121" i="8"/>
  <c r="U121" i="8" s="1"/>
  <c r="Q133" i="8"/>
  <c r="Q112" i="8"/>
  <c r="R71" i="8"/>
  <c r="U71" i="8" s="1"/>
  <c r="T86" i="8"/>
  <c r="W86" i="8" s="1"/>
  <c r="R407" i="9"/>
  <c r="T412" i="9"/>
  <c r="W412" i="9" s="1"/>
  <c r="T414" i="9"/>
  <c r="W414" i="9" s="1"/>
  <c r="T416" i="9"/>
  <c r="W416" i="9" s="1"/>
  <c r="T418" i="9"/>
  <c r="W418" i="9" s="1"/>
  <c r="T420" i="9"/>
  <c r="W420" i="9" s="1"/>
  <c r="T422" i="9"/>
  <c r="W422" i="9" s="1"/>
  <c r="Q364" i="8"/>
  <c r="O343" i="8"/>
  <c r="O322" i="8"/>
  <c r="Q301" i="8"/>
  <c r="T273" i="8"/>
  <c r="W273" i="8" s="1"/>
  <c r="T269" i="8"/>
  <c r="W269" i="8" s="1"/>
  <c r="T265" i="8"/>
  <c r="W265" i="8" s="1"/>
  <c r="R247" i="8"/>
  <c r="U247" i="8" s="1"/>
  <c r="O196" i="8"/>
  <c r="Q154" i="8"/>
  <c r="O133" i="8"/>
  <c r="O70" i="8"/>
  <c r="O49" i="8"/>
  <c r="Q385" i="9"/>
  <c r="R185" i="96"/>
  <c r="R65" i="96"/>
  <c r="R388" i="8"/>
  <c r="T401" i="8"/>
  <c r="W401" i="8" s="1"/>
  <c r="O364" i="8"/>
  <c r="T260" i="8"/>
  <c r="R262" i="8"/>
  <c r="U262" i="8" s="1"/>
  <c r="T261" i="8"/>
  <c r="W261" i="8" s="1"/>
  <c r="T263" i="8"/>
  <c r="W263" i="8" s="1"/>
  <c r="R241" i="8"/>
  <c r="U241" i="8" s="1"/>
  <c r="T239" i="8"/>
  <c r="R251" i="8"/>
  <c r="U251" i="8" s="1"/>
  <c r="R253" i="8"/>
  <c r="U253" i="8" s="1"/>
  <c r="T176" i="8"/>
  <c r="W176" i="8" s="1"/>
  <c r="R178" i="8"/>
  <c r="T177" i="8"/>
  <c r="W177" i="8" s="1"/>
  <c r="T181" i="8"/>
  <c r="W181" i="8" s="1"/>
  <c r="T183" i="8"/>
  <c r="W183" i="8" s="1"/>
  <c r="T185" i="8"/>
  <c r="W185" i="8" s="1"/>
  <c r="T187" i="8"/>
  <c r="W187" i="8" s="1"/>
  <c r="T189" i="8"/>
  <c r="W189" i="8" s="1"/>
  <c r="T191" i="8"/>
  <c r="W191" i="8" s="1"/>
  <c r="Q70" i="8"/>
  <c r="U407" i="9"/>
  <c r="O427" i="9"/>
  <c r="O385" i="8"/>
  <c r="Q322" i="8"/>
  <c r="O217" i="8"/>
  <c r="O154" i="8"/>
  <c r="O28" i="8"/>
  <c r="R388" i="9"/>
  <c r="Q406" i="9"/>
  <c r="T51" i="9"/>
  <c r="W51" i="9" s="1"/>
  <c r="T50" i="9"/>
  <c r="R50" i="9"/>
  <c r="R31" i="9"/>
  <c r="U31" i="9" s="1"/>
  <c r="R35" i="9"/>
  <c r="U35" i="9" s="1"/>
  <c r="R43" i="9"/>
  <c r="U43" i="9" s="1"/>
  <c r="T11" i="9"/>
  <c r="T13" i="9"/>
  <c r="W13" i="9" s="1"/>
  <c r="T15" i="9"/>
  <c r="W15" i="9" s="1"/>
  <c r="T17" i="9"/>
  <c r="W17" i="9" s="1"/>
  <c r="T19" i="9"/>
  <c r="W19" i="9" s="1"/>
  <c r="T21" i="9"/>
  <c r="W21" i="9" s="1"/>
  <c r="T23" i="9"/>
  <c r="W23" i="9" s="1"/>
  <c r="R411" i="11"/>
  <c r="U411" i="11" s="1"/>
  <c r="R415" i="11"/>
  <c r="U415" i="11" s="1"/>
  <c r="T347" i="11"/>
  <c r="W347" i="11" s="1"/>
  <c r="T351" i="11"/>
  <c r="W351" i="11" s="1"/>
  <c r="T353" i="11"/>
  <c r="W353" i="11" s="1"/>
  <c r="T355" i="11"/>
  <c r="W355" i="11" s="1"/>
  <c r="T357" i="11"/>
  <c r="W357" i="11" s="1"/>
  <c r="T359" i="11"/>
  <c r="W359" i="11" s="1"/>
  <c r="T307" i="11"/>
  <c r="T309" i="11"/>
  <c r="W309" i="11" s="1"/>
  <c r="T311" i="11"/>
  <c r="W311" i="11" s="1"/>
  <c r="T313" i="11"/>
  <c r="W313" i="11" s="1"/>
  <c r="T315" i="11"/>
  <c r="W315" i="11" s="1"/>
  <c r="T317" i="11"/>
  <c r="W317" i="11" s="1"/>
  <c r="R200" i="11"/>
  <c r="U200" i="11" s="1"/>
  <c r="R208" i="11"/>
  <c r="U208" i="11" s="1"/>
  <c r="T155" i="11"/>
  <c r="T157" i="11"/>
  <c r="W157" i="11" s="1"/>
  <c r="T159" i="11"/>
  <c r="W159" i="11" s="1"/>
  <c r="T407" i="12"/>
  <c r="W407" i="12" s="1"/>
  <c r="T409" i="12"/>
  <c r="W409" i="12" s="1"/>
  <c r="T197" i="12"/>
  <c r="W197" i="12" s="1"/>
  <c r="T198" i="12"/>
  <c r="W198" i="12" s="1"/>
  <c r="R14" i="12"/>
  <c r="U14" i="12" s="1"/>
  <c r="R10" i="12"/>
  <c r="U10" i="12" s="1"/>
  <c r="R20" i="12"/>
  <c r="U20" i="12" s="1"/>
  <c r="T366" i="13"/>
  <c r="W366" i="13" s="1"/>
  <c r="T365" i="13"/>
  <c r="W365" i="13" s="1"/>
  <c r="R365" i="13"/>
  <c r="R346" i="13"/>
  <c r="U346" i="13" s="1"/>
  <c r="R350" i="13"/>
  <c r="U350" i="13" s="1"/>
  <c r="R358" i="13"/>
  <c r="U358" i="13" s="1"/>
  <c r="T323" i="13"/>
  <c r="T326" i="13"/>
  <c r="W326" i="13" s="1"/>
  <c r="T328" i="13"/>
  <c r="W328" i="13" s="1"/>
  <c r="T330" i="13"/>
  <c r="W330" i="13" s="1"/>
  <c r="T332" i="13"/>
  <c r="W332" i="13" s="1"/>
  <c r="T334" i="13"/>
  <c r="W334" i="13" s="1"/>
  <c r="T336" i="13"/>
  <c r="W336" i="13" s="1"/>
  <c r="T338" i="13"/>
  <c r="W338" i="13" s="1"/>
  <c r="Q70" i="9"/>
  <c r="O343" i="10"/>
  <c r="O196" i="10"/>
  <c r="O427" i="11"/>
  <c r="Q364" i="11"/>
  <c r="Q259" i="11"/>
  <c r="Q406" i="12"/>
  <c r="O154" i="12"/>
  <c r="Q112" i="12"/>
  <c r="Q28" i="12"/>
  <c r="Q385" i="13"/>
  <c r="R96" i="9"/>
  <c r="U96" i="9" s="1"/>
  <c r="R100" i="9"/>
  <c r="U100" i="9" s="1"/>
  <c r="R104" i="9"/>
  <c r="U104" i="9" s="1"/>
  <c r="R369" i="10"/>
  <c r="U369" i="10" s="1"/>
  <c r="R373" i="10"/>
  <c r="U373" i="10" s="1"/>
  <c r="T344" i="10"/>
  <c r="W344" i="10" s="1"/>
  <c r="R344" i="10"/>
  <c r="T345" i="10"/>
  <c r="W345" i="10" s="1"/>
  <c r="T305" i="10"/>
  <c r="T307" i="10"/>
  <c r="W307" i="10" s="1"/>
  <c r="T309" i="10"/>
  <c r="W309" i="10" s="1"/>
  <c r="T311" i="10"/>
  <c r="W311" i="10" s="1"/>
  <c r="T313" i="10"/>
  <c r="W313" i="10" s="1"/>
  <c r="T315" i="10"/>
  <c r="W315" i="10" s="1"/>
  <c r="T317" i="10"/>
  <c r="W317" i="10" s="1"/>
  <c r="T198" i="10"/>
  <c r="W198" i="10" s="1"/>
  <c r="T200" i="10"/>
  <c r="W200" i="10" s="1"/>
  <c r="T202" i="10"/>
  <c r="W202" i="10" s="1"/>
  <c r="T204" i="10"/>
  <c r="W204" i="10" s="1"/>
  <c r="T206" i="10"/>
  <c r="W206" i="10" s="1"/>
  <c r="T208" i="10"/>
  <c r="W208" i="10" s="1"/>
  <c r="T210" i="10"/>
  <c r="W210" i="10" s="1"/>
  <c r="T212" i="10"/>
  <c r="W212" i="10" s="1"/>
  <c r="T386" i="11"/>
  <c r="W386" i="11" s="1"/>
  <c r="R386" i="11"/>
  <c r="U386" i="11" s="1"/>
  <c r="T239" i="11"/>
  <c r="W239" i="11" s="1"/>
  <c r="T243" i="11"/>
  <c r="W243" i="11" s="1"/>
  <c r="T247" i="11"/>
  <c r="W247" i="11" s="1"/>
  <c r="T251" i="11"/>
  <c r="W251" i="11" s="1"/>
  <c r="R219" i="11"/>
  <c r="U219" i="11" s="1"/>
  <c r="R221" i="11"/>
  <c r="U221" i="11" s="1"/>
  <c r="R225" i="11"/>
  <c r="U225" i="11" s="1"/>
  <c r="R229" i="11"/>
  <c r="U229" i="11" s="1"/>
  <c r="R233" i="11"/>
  <c r="U233" i="11" s="1"/>
  <c r="T71" i="11"/>
  <c r="T73" i="11"/>
  <c r="W73" i="11" s="1"/>
  <c r="T75" i="11"/>
  <c r="W75" i="11" s="1"/>
  <c r="T77" i="11"/>
  <c r="W77" i="11" s="1"/>
  <c r="T79" i="11"/>
  <c r="W79" i="11" s="1"/>
  <c r="T81" i="11"/>
  <c r="W81" i="11" s="1"/>
  <c r="T83" i="11"/>
  <c r="W83" i="11" s="1"/>
  <c r="T85" i="11"/>
  <c r="W85" i="11" s="1"/>
  <c r="R30" i="11"/>
  <c r="R36" i="11"/>
  <c r="U36" i="11" s="1"/>
  <c r="R44" i="11"/>
  <c r="U44" i="11" s="1"/>
  <c r="R285" i="12"/>
  <c r="U285" i="12" s="1"/>
  <c r="R293" i="12"/>
  <c r="U293" i="12" s="1"/>
  <c r="T239" i="12"/>
  <c r="W239" i="12" s="1"/>
  <c r="T242" i="12"/>
  <c r="W242" i="12" s="1"/>
  <c r="T244" i="12"/>
  <c r="W244" i="12" s="1"/>
  <c r="T246" i="12"/>
  <c r="W246" i="12" s="1"/>
  <c r="T248" i="12"/>
  <c r="W248" i="12" s="1"/>
  <c r="T250" i="12"/>
  <c r="W250" i="12" s="1"/>
  <c r="T252" i="12"/>
  <c r="W252" i="12" s="1"/>
  <c r="T254" i="12"/>
  <c r="W254" i="12" s="1"/>
  <c r="R180" i="12"/>
  <c r="U180" i="12" s="1"/>
  <c r="R184" i="12"/>
  <c r="U184" i="12" s="1"/>
  <c r="T155" i="12"/>
  <c r="W155" i="12" s="1"/>
  <c r="R155" i="12"/>
  <c r="U155" i="12" s="1"/>
  <c r="T156" i="12"/>
  <c r="W156" i="12" s="1"/>
  <c r="T116" i="12"/>
  <c r="W116" i="12" s="1"/>
  <c r="T118" i="12"/>
  <c r="W118" i="12" s="1"/>
  <c r="T120" i="12"/>
  <c r="W120" i="12" s="1"/>
  <c r="T122" i="12"/>
  <c r="W122" i="12" s="1"/>
  <c r="T124" i="12"/>
  <c r="W124" i="12" s="1"/>
  <c r="T126" i="12"/>
  <c r="W126" i="12" s="1"/>
  <c r="T128" i="12"/>
  <c r="W128" i="12" s="1"/>
  <c r="T281" i="13"/>
  <c r="T282" i="13"/>
  <c r="W282" i="13" s="1"/>
  <c r="R365" i="9"/>
  <c r="T365" i="9"/>
  <c r="R358" i="9"/>
  <c r="U358" i="9" s="1"/>
  <c r="R354" i="9"/>
  <c r="T296" i="9"/>
  <c r="W296" i="9" s="1"/>
  <c r="T294" i="9"/>
  <c r="W294" i="9" s="1"/>
  <c r="T292" i="9"/>
  <c r="W292" i="9" s="1"/>
  <c r="T290" i="9"/>
  <c r="W290" i="9" s="1"/>
  <c r="T288" i="9"/>
  <c r="W288" i="9" s="1"/>
  <c r="T286" i="9"/>
  <c r="R270" i="9"/>
  <c r="U270" i="9" s="1"/>
  <c r="T254" i="9"/>
  <c r="W254" i="9" s="1"/>
  <c r="T252" i="9"/>
  <c r="W252" i="9" s="1"/>
  <c r="T250" i="9"/>
  <c r="W250" i="9" s="1"/>
  <c r="T248" i="9"/>
  <c r="W248" i="9" s="1"/>
  <c r="T246" i="9"/>
  <c r="W246" i="9" s="1"/>
  <c r="T244" i="9"/>
  <c r="R190" i="9"/>
  <c r="U190" i="9" s="1"/>
  <c r="R186" i="9"/>
  <c r="U186" i="9" s="1"/>
  <c r="R182" i="9"/>
  <c r="U182" i="9" s="1"/>
  <c r="T170" i="9"/>
  <c r="W170" i="9" s="1"/>
  <c r="T168" i="9"/>
  <c r="W168" i="9" s="1"/>
  <c r="T166" i="9"/>
  <c r="W166" i="9" s="1"/>
  <c r="T164" i="9"/>
  <c r="W164" i="9" s="1"/>
  <c r="T162" i="9"/>
  <c r="W162" i="9" s="1"/>
  <c r="O112" i="9"/>
  <c r="T84" i="9"/>
  <c r="W84" i="9" s="1"/>
  <c r="T63" i="9"/>
  <c r="W63" i="9" s="1"/>
  <c r="T59" i="9"/>
  <c r="W59" i="9" s="1"/>
  <c r="T55" i="9"/>
  <c r="W55" i="9" s="1"/>
  <c r="O427" i="10"/>
  <c r="T387" i="10"/>
  <c r="W387" i="10" s="1"/>
  <c r="O385" i="10"/>
  <c r="T347" i="10"/>
  <c r="W347" i="10" s="1"/>
  <c r="T290" i="10"/>
  <c r="W290" i="10" s="1"/>
  <c r="Q301" i="10"/>
  <c r="O49" i="10"/>
  <c r="O385" i="11"/>
  <c r="R231" i="11"/>
  <c r="U231" i="11" s="1"/>
  <c r="Q238" i="11"/>
  <c r="R204" i="11"/>
  <c r="U204" i="11" s="1"/>
  <c r="T169" i="11"/>
  <c r="W169" i="11" s="1"/>
  <c r="T165" i="11"/>
  <c r="W165" i="11" s="1"/>
  <c r="T161" i="11"/>
  <c r="W161" i="11" s="1"/>
  <c r="Q175" i="11"/>
  <c r="Q91" i="11"/>
  <c r="T417" i="12"/>
  <c r="W417" i="12" s="1"/>
  <c r="T413" i="12"/>
  <c r="W413" i="12" s="1"/>
  <c r="O196" i="12"/>
  <c r="T158" i="12"/>
  <c r="W158" i="12" s="1"/>
  <c r="O112" i="12"/>
  <c r="Q49" i="12"/>
  <c r="R12" i="12"/>
  <c r="U12" i="12" s="1"/>
  <c r="T408" i="13"/>
  <c r="R407" i="13"/>
  <c r="U407" i="13" s="1"/>
  <c r="T378" i="13"/>
  <c r="W378" i="13" s="1"/>
  <c r="T374" i="13"/>
  <c r="W374" i="13" s="1"/>
  <c r="T370" i="13"/>
  <c r="W370" i="13" s="1"/>
  <c r="U365" i="13"/>
  <c r="Q280" i="13"/>
  <c r="O280" i="13"/>
  <c r="R50" i="17"/>
  <c r="U50" i="17" s="1"/>
  <c r="R56" i="17"/>
  <c r="U56" i="17" s="1"/>
  <c r="T57" i="17"/>
  <c r="R58" i="17"/>
  <c r="U58" i="17" s="1"/>
  <c r="T59" i="17"/>
  <c r="W59" i="17" s="1"/>
  <c r="R60" i="17"/>
  <c r="U60" i="17" s="1"/>
  <c r="T61" i="17"/>
  <c r="W61" i="17" s="1"/>
  <c r="R62" i="17"/>
  <c r="U62" i="17" s="1"/>
  <c r="T63" i="17"/>
  <c r="W63" i="17" s="1"/>
  <c r="R64" i="17"/>
  <c r="U64" i="17" s="1"/>
  <c r="T65" i="17"/>
  <c r="W65" i="17" s="1"/>
  <c r="T29" i="17"/>
  <c r="W29" i="17" s="1"/>
  <c r="T38" i="17"/>
  <c r="W38" i="17" s="1"/>
  <c r="T40" i="17"/>
  <c r="W40" i="17" s="1"/>
  <c r="T42" i="17"/>
  <c r="W42" i="17" s="1"/>
  <c r="R43" i="17"/>
  <c r="T44" i="17"/>
  <c r="W44" i="17" s="1"/>
  <c r="T21" i="17"/>
  <c r="W21" i="17" s="1"/>
  <c r="T23" i="17"/>
  <c r="W23" i="17" s="1"/>
  <c r="R327" i="18"/>
  <c r="T323" i="18"/>
  <c r="R268" i="13"/>
  <c r="U268" i="13" s="1"/>
  <c r="T240" i="13"/>
  <c r="W240" i="13" s="1"/>
  <c r="R239" i="13"/>
  <c r="U239" i="13" s="1"/>
  <c r="T239" i="13"/>
  <c r="W239" i="13" s="1"/>
  <c r="T212" i="13"/>
  <c r="W212" i="13" s="1"/>
  <c r="T210" i="13"/>
  <c r="W210" i="13" s="1"/>
  <c r="T208" i="13"/>
  <c r="W208" i="13" s="1"/>
  <c r="T206" i="13"/>
  <c r="W206" i="13" s="1"/>
  <c r="T204" i="13"/>
  <c r="W204" i="13" s="1"/>
  <c r="T202" i="13"/>
  <c r="W202" i="13" s="1"/>
  <c r="R104" i="13"/>
  <c r="U104" i="13" s="1"/>
  <c r="R94" i="13"/>
  <c r="U94" i="13" s="1"/>
  <c r="R29" i="13"/>
  <c r="T29" i="13"/>
  <c r="W29" i="13" s="1"/>
  <c r="R22" i="13"/>
  <c r="U22" i="13" s="1"/>
  <c r="R14" i="13"/>
  <c r="U14" i="13" s="1"/>
  <c r="T422" i="14"/>
  <c r="W422" i="14" s="1"/>
  <c r="T420" i="14"/>
  <c r="W420" i="14" s="1"/>
  <c r="T418" i="14"/>
  <c r="W418" i="14" s="1"/>
  <c r="T416" i="14"/>
  <c r="W416" i="14" s="1"/>
  <c r="T414" i="14"/>
  <c r="W414" i="14" s="1"/>
  <c r="T412" i="14"/>
  <c r="W412" i="14" s="1"/>
  <c r="T410" i="14"/>
  <c r="W410" i="14" s="1"/>
  <c r="T366" i="14"/>
  <c r="W366" i="14" s="1"/>
  <c r="R352" i="14"/>
  <c r="U352" i="14" s="1"/>
  <c r="T324" i="14"/>
  <c r="W324" i="14" s="1"/>
  <c r="R323" i="14"/>
  <c r="U323" i="14" s="1"/>
  <c r="T323" i="14"/>
  <c r="T296" i="14"/>
  <c r="W296" i="14" s="1"/>
  <c r="T294" i="14"/>
  <c r="W294" i="14" s="1"/>
  <c r="T292" i="14"/>
  <c r="W292" i="14" s="1"/>
  <c r="T290" i="14"/>
  <c r="W290" i="14" s="1"/>
  <c r="T288" i="14"/>
  <c r="W288" i="14" s="1"/>
  <c r="T286" i="14"/>
  <c r="T218" i="14"/>
  <c r="T176" i="14"/>
  <c r="W176" i="14" s="1"/>
  <c r="T134" i="14"/>
  <c r="T154" i="14" s="1"/>
  <c r="R127" i="14"/>
  <c r="U127" i="14" s="1"/>
  <c r="R125" i="14"/>
  <c r="U125" i="14" s="1"/>
  <c r="R123" i="14"/>
  <c r="U123" i="14" s="1"/>
  <c r="T107" i="14"/>
  <c r="W107" i="14" s="1"/>
  <c r="T105" i="14"/>
  <c r="W105" i="14" s="1"/>
  <c r="T103" i="14"/>
  <c r="W103" i="14" s="1"/>
  <c r="T101" i="14"/>
  <c r="W101" i="14" s="1"/>
  <c r="T99" i="14"/>
  <c r="W99" i="14" s="1"/>
  <c r="T97" i="14"/>
  <c r="W97" i="14" s="1"/>
  <c r="O112" i="14"/>
  <c r="T65" i="14"/>
  <c r="W65" i="14" s="1"/>
  <c r="T63" i="14"/>
  <c r="W63" i="14" s="1"/>
  <c r="T61" i="14"/>
  <c r="W61" i="14" s="1"/>
  <c r="T59" i="14"/>
  <c r="W59" i="14" s="1"/>
  <c r="T57" i="14"/>
  <c r="W57" i="14" s="1"/>
  <c r="T55" i="14"/>
  <c r="W55" i="14" s="1"/>
  <c r="O70" i="14"/>
  <c r="T23" i="14"/>
  <c r="W23" i="14" s="1"/>
  <c r="T21" i="14"/>
  <c r="W21" i="14" s="1"/>
  <c r="T19" i="14"/>
  <c r="W19" i="14" s="1"/>
  <c r="T17" i="14"/>
  <c r="W17" i="14" s="1"/>
  <c r="T15" i="14"/>
  <c r="W15" i="14" s="1"/>
  <c r="T13" i="14"/>
  <c r="W13" i="14" s="1"/>
  <c r="O28" i="14"/>
  <c r="T401" i="15"/>
  <c r="W401" i="15" s="1"/>
  <c r="T399" i="15"/>
  <c r="W399" i="15" s="1"/>
  <c r="T397" i="15"/>
  <c r="W397" i="15" s="1"/>
  <c r="T395" i="15"/>
  <c r="W395" i="15" s="1"/>
  <c r="T393" i="15"/>
  <c r="W393" i="15" s="1"/>
  <c r="T391" i="15"/>
  <c r="W391" i="15" s="1"/>
  <c r="O406" i="15"/>
  <c r="T359" i="15"/>
  <c r="W359" i="15" s="1"/>
  <c r="T357" i="15"/>
  <c r="W357" i="15" s="1"/>
  <c r="T355" i="15"/>
  <c r="W355" i="15" s="1"/>
  <c r="T353" i="15"/>
  <c r="W353" i="15" s="1"/>
  <c r="T351" i="15"/>
  <c r="W351" i="15" s="1"/>
  <c r="T349" i="15"/>
  <c r="O364" i="15"/>
  <c r="T317" i="15"/>
  <c r="W317" i="15" s="1"/>
  <c r="T315" i="15"/>
  <c r="W315" i="15" s="1"/>
  <c r="T313" i="15"/>
  <c r="W313" i="15" s="1"/>
  <c r="T311" i="15"/>
  <c r="W311" i="15" s="1"/>
  <c r="T309" i="15"/>
  <c r="W309" i="15" s="1"/>
  <c r="T307" i="15"/>
  <c r="W307" i="15" s="1"/>
  <c r="T303" i="15"/>
  <c r="W303" i="15" s="1"/>
  <c r="R304" i="15"/>
  <c r="U304" i="15" s="1"/>
  <c r="R295" i="15"/>
  <c r="U295" i="15" s="1"/>
  <c r="R293" i="15"/>
  <c r="U293" i="15" s="1"/>
  <c r="R291" i="15"/>
  <c r="U291" i="15" s="1"/>
  <c r="R289" i="15"/>
  <c r="U289" i="15" s="1"/>
  <c r="R287" i="15"/>
  <c r="U287" i="15" s="1"/>
  <c r="T263" i="15"/>
  <c r="W263" i="15" s="1"/>
  <c r="T233" i="15"/>
  <c r="W233" i="15" s="1"/>
  <c r="T231" i="15"/>
  <c r="W231" i="15" s="1"/>
  <c r="T229" i="15"/>
  <c r="W229" i="15" s="1"/>
  <c r="T227" i="15"/>
  <c r="W227" i="15" s="1"/>
  <c r="T225" i="15"/>
  <c r="W225" i="15" s="1"/>
  <c r="T223" i="15"/>
  <c r="W223" i="15" s="1"/>
  <c r="T219" i="15"/>
  <c r="W219" i="15" s="1"/>
  <c r="R220" i="15"/>
  <c r="U220" i="15" s="1"/>
  <c r="R211" i="15"/>
  <c r="U211" i="15" s="1"/>
  <c r="R209" i="15"/>
  <c r="U209" i="15" s="1"/>
  <c r="R207" i="15"/>
  <c r="U207" i="15" s="1"/>
  <c r="R205" i="15"/>
  <c r="U205" i="15" s="1"/>
  <c r="R203" i="15"/>
  <c r="U203" i="15" s="1"/>
  <c r="T179" i="15"/>
  <c r="T149" i="15"/>
  <c r="W149" i="15" s="1"/>
  <c r="T147" i="15"/>
  <c r="W147" i="15" s="1"/>
  <c r="T145" i="15"/>
  <c r="W145" i="15" s="1"/>
  <c r="T143" i="15"/>
  <c r="W143" i="15" s="1"/>
  <c r="T141" i="15"/>
  <c r="W141" i="15" s="1"/>
  <c r="T139" i="15"/>
  <c r="W139" i="15" s="1"/>
  <c r="O154" i="15"/>
  <c r="T107" i="15"/>
  <c r="W107" i="15" s="1"/>
  <c r="T105" i="15"/>
  <c r="W105" i="15" s="1"/>
  <c r="T103" i="15"/>
  <c r="W103" i="15" s="1"/>
  <c r="T101" i="15"/>
  <c r="W101" i="15" s="1"/>
  <c r="T99" i="15"/>
  <c r="W99" i="15" s="1"/>
  <c r="T97" i="15"/>
  <c r="W97" i="15" s="1"/>
  <c r="T93" i="15"/>
  <c r="W93" i="15" s="1"/>
  <c r="R94" i="15"/>
  <c r="U94" i="15" s="1"/>
  <c r="R85" i="15"/>
  <c r="U85" i="15" s="1"/>
  <c r="R83" i="15"/>
  <c r="U83" i="15" s="1"/>
  <c r="R81" i="15"/>
  <c r="U81" i="15" s="1"/>
  <c r="R79" i="15"/>
  <c r="U79" i="15" s="1"/>
  <c r="R77" i="15"/>
  <c r="U77" i="15" s="1"/>
  <c r="T53" i="15"/>
  <c r="W53" i="15" s="1"/>
  <c r="T23" i="15"/>
  <c r="W23" i="15" s="1"/>
  <c r="T21" i="15"/>
  <c r="W21" i="15" s="1"/>
  <c r="T19" i="15"/>
  <c r="W19" i="15" s="1"/>
  <c r="T17" i="15"/>
  <c r="W17" i="15" s="1"/>
  <c r="T15" i="15"/>
  <c r="W15" i="15" s="1"/>
  <c r="T13" i="15"/>
  <c r="W13" i="15" s="1"/>
  <c r="T9" i="15"/>
  <c r="W9" i="15" s="1"/>
  <c r="R10" i="15"/>
  <c r="U10" i="15" s="1"/>
  <c r="R421" i="16"/>
  <c r="U421" i="16" s="1"/>
  <c r="R419" i="16"/>
  <c r="U419" i="16" s="1"/>
  <c r="R417" i="16"/>
  <c r="U417" i="16" s="1"/>
  <c r="R415" i="16"/>
  <c r="U415" i="16" s="1"/>
  <c r="R413" i="16"/>
  <c r="U413" i="16" s="1"/>
  <c r="T389" i="16"/>
  <c r="W389" i="16" s="1"/>
  <c r="T387" i="16"/>
  <c r="W387" i="16" s="1"/>
  <c r="R388" i="16"/>
  <c r="R379" i="16"/>
  <c r="U379" i="16" s="1"/>
  <c r="R377" i="16"/>
  <c r="U377" i="16" s="1"/>
  <c r="R375" i="16"/>
  <c r="U375" i="16" s="1"/>
  <c r="R373" i="16"/>
  <c r="U373" i="16" s="1"/>
  <c r="R371" i="16"/>
  <c r="U371" i="16" s="1"/>
  <c r="T347" i="16"/>
  <c r="W347" i="16" s="1"/>
  <c r="T345" i="16"/>
  <c r="W345" i="16" s="1"/>
  <c r="R346" i="16"/>
  <c r="U346" i="16" s="1"/>
  <c r="R337" i="16"/>
  <c r="U337" i="16" s="1"/>
  <c r="R335" i="16"/>
  <c r="U335" i="16" s="1"/>
  <c r="R333" i="16"/>
  <c r="U333" i="16" s="1"/>
  <c r="R331" i="16"/>
  <c r="U331" i="16" s="1"/>
  <c r="R329" i="16"/>
  <c r="U329" i="16" s="1"/>
  <c r="T317" i="16"/>
  <c r="W317" i="16" s="1"/>
  <c r="T315" i="16"/>
  <c r="W315" i="16" s="1"/>
  <c r="T313" i="16"/>
  <c r="W313" i="16" s="1"/>
  <c r="T311" i="16"/>
  <c r="W311" i="16" s="1"/>
  <c r="T309" i="16"/>
  <c r="W309" i="16" s="1"/>
  <c r="T307" i="16"/>
  <c r="W307" i="16" s="1"/>
  <c r="O322" i="16"/>
  <c r="T263" i="16"/>
  <c r="W263" i="16" s="1"/>
  <c r="T261" i="16"/>
  <c r="W261" i="16" s="1"/>
  <c r="R262" i="16"/>
  <c r="U262" i="16" s="1"/>
  <c r="R253" i="16"/>
  <c r="U253" i="16" s="1"/>
  <c r="R251" i="16"/>
  <c r="U251" i="16" s="1"/>
  <c r="R249" i="16"/>
  <c r="U249" i="16" s="1"/>
  <c r="R247" i="16"/>
  <c r="U247" i="16" s="1"/>
  <c r="T233" i="16"/>
  <c r="W233" i="16" s="1"/>
  <c r="T231" i="16"/>
  <c r="W231" i="16" s="1"/>
  <c r="T229" i="16"/>
  <c r="W229" i="16" s="1"/>
  <c r="T227" i="16"/>
  <c r="W227" i="16" s="1"/>
  <c r="T225" i="16"/>
  <c r="W225" i="16" s="1"/>
  <c r="T223" i="16"/>
  <c r="W223" i="16" s="1"/>
  <c r="O238" i="16"/>
  <c r="R207" i="16"/>
  <c r="U207" i="16" s="1"/>
  <c r="R205" i="16"/>
  <c r="U205" i="16" s="1"/>
  <c r="R203" i="16"/>
  <c r="U203" i="16" s="1"/>
  <c r="T179" i="16"/>
  <c r="W179" i="16" s="1"/>
  <c r="T177" i="16"/>
  <c r="W177" i="16" s="1"/>
  <c r="R178" i="16"/>
  <c r="U178" i="16" s="1"/>
  <c r="R169" i="16"/>
  <c r="U169" i="16" s="1"/>
  <c r="T149" i="16"/>
  <c r="W149" i="16" s="1"/>
  <c r="T147" i="16"/>
  <c r="W147" i="16" s="1"/>
  <c r="T145" i="16"/>
  <c r="W145" i="16" s="1"/>
  <c r="T143" i="16"/>
  <c r="W143" i="16" s="1"/>
  <c r="T141" i="16"/>
  <c r="W141" i="16" s="1"/>
  <c r="T139" i="16"/>
  <c r="O154" i="16"/>
  <c r="R136" i="16"/>
  <c r="U136" i="16" s="1"/>
  <c r="R127" i="16"/>
  <c r="U127" i="16" s="1"/>
  <c r="R125" i="16"/>
  <c r="U125" i="16" s="1"/>
  <c r="R123" i="16"/>
  <c r="U123" i="16" s="1"/>
  <c r="R121" i="16"/>
  <c r="U121" i="16" s="1"/>
  <c r="R119" i="16"/>
  <c r="U119" i="16" s="1"/>
  <c r="T95" i="16"/>
  <c r="W95" i="16" s="1"/>
  <c r="R83" i="16"/>
  <c r="U83" i="16" s="1"/>
  <c r="R81" i="16"/>
  <c r="U81" i="16" s="1"/>
  <c r="R79" i="16"/>
  <c r="U79" i="16" s="1"/>
  <c r="R60" i="16"/>
  <c r="U60" i="16" s="1"/>
  <c r="R56" i="16"/>
  <c r="U56" i="16" s="1"/>
  <c r="O49" i="16"/>
  <c r="T324" i="17"/>
  <c r="W324" i="17" s="1"/>
  <c r="O301" i="17"/>
  <c r="O133" i="17"/>
  <c r="O28" i="17"/>
  <c r="Q427" i="18"/>
  <c r="O406" i="18"/>
  <c r="Q385" i="18"/>
  <c r="Q364" i="18"/>
  <c r="O322" i="18"/>
  <c r="Q301" i="18"/>
  <c r="Q280" i="18"/>
  <c r="R411" i="18"/>
  <c r="U411" i="18" s="1"/>
  <c r="T407" i="18"/>
  <c r="R419" i="18"/>
  <c r="U419" i="18" s="1"/>
  <c r="R421" i="18"/>
  <c r="U421" i="18" s="1"/>
  <c r="R369" i="18"/>
  <c r="U369" i="18" s="1"/>
  <c r="T365" i="18"/>
  <c r="W365" i="18" s="1"/>
  <c r="R285" i="18"/>
  <c r="U285" i="18" s="1"/>
  <c r="T281" i="18"/>
  <c r="W281" i="18" s="1"/>
  <c r="O385" i="17"/>
  <c r="O217" i="17"/>
  <c r="O49" i="17"/>
  <c r="Q28" i="17"/>
  <c r="Q406" i="18"/>
  <c r="Q343" i="18"/>
  <c r="Q322" i="18"/>
  <c r="T239" i="18"/>
  <c r="W239" i="18" s="1"/>
  <c r="T197" i="18"/>
  <c r="W197" i="18" s="1"/>
  <c r="T156" i="18"/>
  <c r="W156" i="18" s="1"/>
  <c r="R157" i="18"/>
  <c r="U157" i="18" s="1"/>
  <c r="T155" i="18"/>
  <c r="W155" i="18" s="1"/>
  <c r="R148" i="18"/>
  <c r="U148" i="18" s="1"/>
  <c r="R146" i="18"/>
  <c r="U146" i="18" s="1"/>
  <c r="R144" i="18"/>
  <c r="U144" i="18" s="1"/>
  <c r="R142" i="18"/>
  <c r="U142" i="18" s="1"/>
  <c r="R140" i="18"/>
  <c r="U140" i="18" s="1"/>
  <c r="T116" i="18"/>
  <c r="T86" i="18"/>
  <c r="W86" i="18" s="1"/>
  <c r="T84" i="18"/>
  <c r="W84" i="18" s="1"/>
  <c r="T82" i="18"/>
  <c r="W82" i="18" s="1"/>
  <c r="T80" i="18"/>
  <c r="W80" i="18" s="1"/>
  <c r="T78" i="18"/>
  <c r="W78" i="18" s="1"/>
  <c r="T76" i="18"/>
  <c r="W76" i="18" s="1"/>
  <c r="T72" i="18"/>
  <c r="W72" i="18" s="1"/>
  <c r="R73" i="18"/>
  <c r="U73" i="18" s="1"/>
  <c r="R64" i="18"/>
  <c r="U64" i="18" s="1"/>
  <c r="R62" i="18"/>
  <c r="U62" i="18" s="1"/>
  <c r="R60" i="18"/>
  <c r="U60" i="18" s="1"/>
  <c r="R58" i="18"/>
  <c r="U58" i="18" s="1"/>
  <c r="R56" i="18"/>
  <c r="U56" i="18" s="1"/>
  <c r="T32" i="18"/>
  <c r="W32" i="18" s="1"/>
  <c r="T422" i="19"/>
  <c r="W422" i="19" s="1"/>
  <c r="T420" i="19"/>
  <c r="W420" i="19" s="1"/>
  <c r="T418" i="19"/>
  <c r="W418" i="19" s="1"/>
  <c r="T416" i="19"/>
  <c r="W416" i="19" s="1"/>
  <c r="T414" i="19"/>
  <c r="W414" i="19" s="1"/>
  <c r="T412" i="19"/>
  <c r="W412" i="19" s="1"/>
  <c r="T408" i="19"/>
  <c r="W408" i="19" s="1"/>
  <c r="R409" i="19"/>
  <c r="U409" i="19" s="1"/>
  <c r="R400" i="19"/>
  <c r="U400" i="19" s="1"/>
  <c r="R398" i="19"/>
  <c r="U398" i="19" s="1"/>
  <c r="R396" i="19"/>
  <c r="U396" i="19" s="1"/>
  <c r="R394" i="19"/>
  <c r="U394" i="19" s="1"/>
  <c r="R392" i="19"/>
  <c r="U392" i="19" s="1"/>
  <c r="T386" i="19"/>
  <c r="T344" i="19"/>
  <c r="W344" i="19" s="1"/>
  <c r="T218" i="19"/>
  <c r="W218" i="19" s="1"/>
  <c r="T176" i="19"/>
  <c r="T127" i="19"/>
  <c r="W127" i="19" s="1"/>
  <c r="T125" i="19"/>
  <c r="W125" i="19" s="1"/>
  <c r="T123" i="19"/>
  <c r="W123" i="19" s="1"/>
  <c r="T119" i="19"/>
  <c r="W119" i="19" s="1"/>
  <c r="T117" i="19"/>
  <c r="R50" i="19"/>
  <c r="U50" i="19" s="1"/>
  <c r="T50" i="19"/>
  <c r="W50" i="19" s="1"/>
  <c r="R30" i="19"/>
  <c r="U30" i="19" s="1"/>
  <c r="R389" i="20"/>
  <c r="U389" i="20" s="1"/>
  <c r="R355" i="20"/>
  <c r="U355" i="20" s="1"/>
  <c r="R347" i="20"/>
  <c r="U347" i="20" s="1"/>
  <c r="T344" i="20"/>
  <c r="W344" i="20" s="1"/>
  <c r="Q343" i="20"/>
  <c r="R312" i="20"/>
  <c r="U312" i="20" s="1"/>
  <c r="R310" i="20"/>
  <c r="U310" i="20" s="1"/>
  <c r="R308" i="20"/>
  <c r="U308" i="20" s="1"/>
  <c r="R306" i="20"/>
  <c r="U306" i="20" s="1"/>
  <c r="R293" i="20"/>
  <c r="U293" i="20" s="1"/>
  <c r="R211" i="20"/>
  <c r="U211" i="20" s="1"/>
  <c r="R207" i="20"/>
  <c r="U207" i="20" s="1"/>
  <c r="R205" i="20"/>
  <c r="U205" i="20" s="1"/>
  <c r="R203" i="20"/>
  <c r="U203" i="20" s="1"/>
  <c r="R201" i="20"/>
  <c r="U201" i="20" s="1"/>
  <c r="T155" i="20"/>
  <c r="W155" i="20" s="1"/>
  <c r="T29" i="20"/>
  <c r="T407" i="21"/>
  <c r="W407" i="21" s="1"/>
  <c r="T221" i="21"/>
  <c r="W221" i="21" s="1"/>
  <c r="T219" i="21"/>
  <c r="W219" i="21" s="1"/>
  <c r="R211" i="21"/>
  <c r="U211" i="21" s="1"/>
  <c r="R201" i="21"/>
  <c r="U201" i="21" s="1"/>
  <c r="T187" i="21"/>
  <c r="W187" i="21" s="1"/>
  <c r="T185" i="21"/>
  <c r="W185" i="21" s="1"/>
  <c r="T183" i="21"/>
  <c r="W183" i="21" s="1"/>
  <c r="R178" i="21"/>
  <c r="U178" i="21" s="1"/>
  <c r="R169" i="21"/>
  <c r="U169" i="21" s="1"/>
  <c r="T143" i="21"/>
  <c r="W143" i="21" s="1"/>
  <c r="T141" i="21"/>
  <c r="W141" i="21" s="1"/>
  <c r="T139" i="21"/>
  <c r="W139" i="21" s="1"/>
  <c r="T126" i="21"/>
  <c r="W126" i="21" s="1"/>
  <c r="R104" i="21"/>
  <c r="U104" i="21" s="1"/>
  <c r="R100" i="21"/>
  <c r="U100" i="21" s="1"/>
  <c r="R96" i="21"/>
  <c r="U96" i="21" s="1"/>
  <c r="T93" i="21"/>
  <c r="W93" i="21" s="1"/>
  <c r="R63" i="21"/>
  <c r="U63" i="21" s="1"/>
  <c r="T61" i="21"/>
  <c r="W61" i="21" s="1"/>
  <c r="T59" i="21"/>
  <c r="W59" i="21" s="1"/>
  <c r="T57" i="21"/>
  <c r="W57" i="21" s="1"/>
  <c r="T55" i="21"/>
  <c r="W55" i="21" s="1"/>
  <c r="R42" i="21"/>
  <c r="U42" i="21" s="1"/>
  <c r="R38" i="21"/>
  <c r="U38" i="21" s="1"/>
  <c r="R20" i="21"/>
  <c r="U20" i="21" s="1"/>
  <c r="R16" i="21"/>
  <c r="U16" i="21" s="1"/>
  <c r="R12" i="21"/>
  <c r="U12" i="21" s="1"/>
  <c r="R10" i="21"/>
  <c r="U10" i="21" s="1"/>
  <c r="T421" i="22"/>
  <c r="W421" i="22" s="1"/>
  <c r="T419" i="22"/>
  <c r="W419" i="22" s="1"/>
  <c r="T417" i="22"/>
  <c r="W417" i="22" s="1"/>
  <c r="T415" i="22"/>
  <c r="W415" i="22" s="1"/>
  <c r="T413" i="22"/>
  <c r="W413" i="22" s="1"/>
  <c r="T411" i="22"/>
  <c r="W411" i="22" s="1"/>
  <c r="R400" i="22"/>
  <c r="U400" i="22" s="1"/>
  <c r="R396" i="22"/>
  <c r="U396" i="22" s="1"/>
  <c r="R379" i="22"/>
  <c r="U379" i="22" s="1"/>
  <c r="R375" i="22"/>
  <c r="U375" i="22" s="1"/>
  <c r="R371" i="22"/>
  <c r="U371" i="22" s="1"/>
  <c r="R367" i="22"/>
  <c r="U367" i="22" s="1"/>
  <c r="R365" i="22"/>
  <c r="U365" i="22" s="1"/>
  <c r="R358" i="22"/>
  <c r="U358" i="22" s="1"/>
  <c r="R354" i="22"/>
  <c r="U354" i="22" s="1"/>
  <c r="O343" i="22"/>
  <c r="R335" i="22"/>
  <c r="U335" i="22" s="1"/>
  <c r="R331" i="22"/>
  <c r="U331" i="22" s="1"/>
  <c r="R314" i="22"/>
  <c r="U314" i="22" s="1"/>
  <c r="R310" i="22"/>
  <c r="U310" i="22" s="1"/>
  <c r="R306" i="22"/>
  <c r="U306" i="22" s="1"/>
  <c r="T232" i="22"/>
  <c r="W232" i="22" s="1"/>
  <c r="T228" i="22"/>
  <c r="W228" i="22" s="1"/>
  <c r="T224" i="22"/>
  <c r="W224" i="22" s="1"/>
  <c r="T220" i="22"/>
  <c r="W220" i="22" s="1"/>
  <c r="T218" i="22"/>
  <c r="T188" i="22"/>
  <c r="W188" i="22" s="1"/>
  <c r="T184" i="22"/>
  <c r="W184" i="22" s="1"/>
  <c r="R170" i="22"/>
  <c r="U170" i="22" s="1"/>
  <c r="R168" i="22"/>
  <c r="U168" i="22" s="1"/>
  <c r="R166" i="22"/>
  <c r="U166" i="22" s="1"/>
  <c r="R164" i="22"/>
  <c r="U164" i="22" s="1"/>
  <c r="R162" i="22"/>
  <c r="U162" i="22" s="1"/>
  <c r="R160" i="22"/>
  <c r="U160" i="22" s="1"/>
  <c r="R158" i="22"/>
  <c r="T148" i="22"/>
  <c r="W148" i="22" s="1"/>
  <c r="T144" i="22"/>
  <c r="W144" i="22" s="1"/>
  <c r="T140" i="22"/>
  <c r="W140" i="22" s="1"/>
  <c r="T136" i="22"/>
  <c r="W136" i="22" s="1"/>
  <c r="T134" i="22"/>
  <c r="W134" i="22" s="1"/>
  <c r="T104" i="22"/>
  <c r="W104" i="22" s="1"/>
  <c r="T100" i="22"/>
  <c r="W100" i="22" s="1"/>
  <c r="R86" i="22"/>
  <c r="U86" i="22" s="1"/>
  <c r="R84" i="22"/>
  <c r="U84" i="22" s="1"/>
  <c r="R82" i="22"/>
  <c r="U82" i="22" s="1"/>
  <c r="R80" i="22"/>
  <c r="U80" i="22" s="1"/>
  <c r="R78" i="22"/>
  <c r="U78" i="22" s="1"/>
  <c r="R76" i="22"/>
  <c r="U76" i="22" s="1"/>
  <c r="R74" i="22"/>
  <c r="T64" i="22"/>
  <c r="W64" i="22" s="1"/>
  <c r="T62" i="22"/>
  <c r="W62" i="22" s="1"/>
  <c r="T60" i="22"/>
  <c r="W60" i="22" s="1"/>
  <c r="W117" i="19"/>
  <c r="W386" i="19"/>
  <c r="W116" i="18"/>
  <c r="W139" i="16"/>
  <c r="W179" i="15"/>
  <c r="W134" i="14"/>
  <c r="W286" i="9"/>
  <c r="U354" i="9"/>
  <c r="W365" i="9"/>
  <c r="U30" i="11"/>
  <c r="W71" i="11"/>
  <c r="W305" i="10"/>
  <c r="W323" i="13"/>
  <c r="W307" i="11"/>
  <c r="W50" i="9"/>
  <c r="U178" i="8"/>
  <c r="W239" i="8"/>
  <c r="U158" i="22"/>
  <c r="U388" i="16"/>
  <c r="W349" i="15"/>
  <c r="W286" i="14"/>
  <c r="W323" i="14"/>
  <c r="W323" i="18"/>
  <c r="W244" i="9"/>
  <c r="W11" i="9"/>
  <c r="U388" i="9"/>
  <c r="W260" i="8"/>
  <c r="U388" i="8"/>
  <c r="U220" i="8"/>
  <c r="W155" i="11"/>
  <c r="W229" i="8"/>
  <c r="U327" i="18"/>
  <c r="W408" i="13"/>
  <c r="U365" i="9"/>
  <c r="R126" i="96"/>
  <c r="K254" i="96"/>
  <c r="K202" i="96"/>
  <c r="K195" i="96"/>
  <c r="U28" i="22"/>
  <c r="W57" i="17"/>
  <c r="T196" i="14"/>
  <c r="U50" i="9"/>
  <c r="W113" i="22"/>
  <c r="U243" i="21"/>
  <c r="T282" i="9"/>
  <c r="W282" i="9" s="1"/>
  <c r="T281" i="9"/>
  <c r="W281" i="9" s="1"/>
  <c r="R281" i="9"/>
  <c r="R268" i="9"/>
  <c r="U268" i="9" s="1"/>
  <c r="R274" i="9"/>
  <c r="U274" i="9" s="1"/>
  <c r="T155" i="9"/>
  <c r="W155" i="9" s="1"/>
  <c r="T158" i="9"/>
  <c r="W158" i="9" s="1"/>
  <c r="T147" i="8"/>
  <c r="W147" i="8" s="1"/>
  <c r="Q322" i="9"/>
  <c r="Q280" i="9"/>
  <c r="T160" i="9"/>
  <c r="W160" i="9" s="1"/>
  <c r="T198" i="9"/>
  <c r="W198" i="9" s="1"/>
  <c r="T197" i="9"/>
  <c r="W197" i="9" s="1"/>
  <c r="T200" i="9"/>
  <c r="W200" i="9" s="1"/>
  <c r="T202" i="9"/>
  <c r="W202" i="9" s="1"/>
  <c r="T204" i="9"/>
  <c r="W204" i="9" s="1"/>
  <c r="T206" i="9"/>
  <c r="W206" i="9" s="1"/>
  <c r="T208" i="9"/>
  <c r="W208" i="9" s="1"/>
  <c r="T210" i="9"/>
  <c r="W210" i="9" s="1"/>
  <c r="T212" i="9"/>
  <c r="W212" i="9" s="1"/>
  <c r="D155" i="96"/>
  <c r="R335" i="8"/>
  <c r="T323" i="8"/>
  <c r="W323" i="8" s="1"/>
  <c r="T317" i="8"/>
  <c r="W317" i="8" s="1"/>
  <c r="T197" i="8"/>
  <c r="W197" i="8" s="1"/>
  <c r="T179" i="8"/>
  <c r="W179" i="8" s="1"/>
  <c r="R165" i="8"/>
  <c r="U165" i="8" s="1"/>
  <c r="T149" i="8"/>
  <c r="W149" i="8" s="1"/>
  <c r="T145" i="8"/>
  <c r="W145" i="8" s="1"/>
  <c r="R125" i="8"/>
  <c r="U125" i="8" s="1"/>
  <c r="T113" i="8"/>
  <c r="W113" i="8" s="1"/>
  <c r="T72" i="8"/>
  <c r="R64" i="8"/>
  <c r="U64" i="8" s="1"/>
  <c r="R60" i="8"/>
  <c r="T8" i="8"/>
  <c r="W8" i="8" s="1"/>
  <c r="T410" i="9"/>
  <c r="W410" i="9" s="1"/>
  <c r="T380" i="9"/>
  <c r="W380" i="9" s="1"/>
  <c r="T378" i="9"/>
  <c r="W378" i="9" s="1"/>
  <c r="T376" i="9"/>
  <c r="W376" i="9" s="1"/>
  <c r="T374" i="9"/>
  <c r="W374" i="9" s="1"/>
  <c r="T372" i="9"/>
  <c r="W372" i="9" s="1"/>
  <c r="T370" i="9"/>
  <c r="W370" i="9" s="1"/>
  <c r="T368" i="9"/>
  <c r="W368" i="9" s="1"/>
  <c r="T338" i="9"/>
  <c r="W338" i="9" s="1"/>
  <c r="T336" i="9"/>
  <c r="W336" i="9" s="1"/>
  <c r="T334" i="9"/>
  <c r="W334" i="9" s="1"/>
  <c r="T332" i="9"/>
  <c r="W332" i="9" s="1"/>
  <c r="T330" i="9"/>
  <c r="W330" i="9" s="1"/>
  <c r="T326" i="9"/>
  <c r="W326" i="9" s="1"/>
  <c r="O322" i="9"/>
  <c r="T284" i="9"/>
  <c r="W284" i="9" s="1"/>
  <c r="R264" i="9"/>
  <c r="U264" i="9" s="1"/>
  <c r="Q238" i="9"/>
  <c r="O238" i="9"/>
  <c r="Q217" i="9"/>
  <c r="T156" i="9"/>
  <c r="W156" i="9" s="1"/>
  <c r="R155" i="9"/>
  <c r="Q133" i="9"/>
  <c r="R29" i="18"/>
  <c r="T29" i="18"/>
  <c r="R31" i="18"/>
  <c r="U31" i="18" s="1"/>
  <c r="T34" i="18"/>
  <c r="W34" i="18" s="1"/>
  <c r="R407" i="19"/>
  <c r="U407" i="19" s="1"/>
  <c r="T410" i="19"/>
  <c r="W410" i="19" s="1"/>
  <c r="R102" i="9"/>
  <c r="U102" i="9" s="1"/>
  <c r="R94" i="9"/>
  <c r="U94" i="9" s="1"/>
  <c r="T86" i="9"/>
  <c r="W86" i="9" s="1"/>
  <c r="T65" i="9"/>
  <c r="W65" i="9" s="1"/>
  <c r="T61" i="9"/>
  <c r="W61" i="9" s="1"/>
  <c r="T57" i="9"/>
  <c r="W57" i="9" s="1"/>
  <c r="R302" i="10"/>
  <c r="U302" i="10" s="1"/>
  <c r="T302" i="10"/>
  <c r="W302" i="10" s="1"/>
  <c r="T284" i="10"/>
  <c r="W284" i="10" s="1"/>
  <c r="T126" i="10"/>
  <c r="W126" i="10" s="1"/>
  <c r="T122" i="10"/>
  <c r="W122" i="10" s="1"/>
  <c r="T118" i="10"/>
  <c r="W118" i="10" s="1"/>
  <c r="R333" i="11"/>
  <c r="T167" i="11"/>
  <c r="W167" i="11" s="1"/>
  <c r="R389" i="12"/>
  <c r="U389" i="12" s="1"/>
  <c r="T314" i="12"/>
  <c r="W314" i="12" s="1"/>
  <c r="T310" i="12"/>
  <c r="W310" i="12" s="1"/>
  <c r="R178" i="12"/>
  <c r="U178" i="12" s="1"/>
  <c r="R113" i="12"/>
  <c r="U113" i="12" s="1"/>
  <c r="T113" i="12"/>
  <c r="W113" i="12" s="1"/>
  <c r="R262" i="13"/>
  <c r="R266" i="13"/>
  <c r="U266" i="13" s="1"/>
  <c r="T170" i="13"/>
  <c r="W170" i="13" s="1"/>
  <c r="T168" i="13"/>
  <c r="W168" i="13" s="1"/>
  <c r="T166" i="13"/>
  <c r="W166" i="13" s="1"/>
  <c r="T164" i="13"/>
  <c r="W164" i="13" s="1"/>
  <c r="T162" i="13"/>
  <c r="W162" i="13" s="1"/>
  <c r="T160" i="13"/>
  <c r="W160" i="13" s="1"/>
  <c r="T158" i="13"/>
  <c r="W158" i="13" s="1"/>
  <c r="T114" i="13"/>
  <c r="W114" i="13" s="1"/>
  <c r="R96" i="13"/>
  <c r="U96" i="13" s="1"/>
  <c r="T72" i="13"/>
  <c r="R356" i="14"/>
  <c r="U356" i="14" s="1"/>
  <c r="T254" i="14"/>
  <c r="W254" i="14" s="1"/>
  <c r="T252" i="14"/>
  <c r="W252" i="14" s="1"/>
  <c r="T250" i="14"/>
  <c r="W250" i="14" s="1"/>
  <c r="T248" i="14"/>
  <c r="W248" i="14" s="1"/>
  <c r="T246" i="14"/>
  <c r="W246" i="14" s="1"/>
  <c r="T244" i="14"/>
  <c r="W244" i="14" s="1"/>
  <c r="T242" i="14"/>
  <c r="W242" i="14" s="1"/>
  <c r="R121" i="14"/>
  <c r="U121" i="14" s="1"/>
  <c r="R119" i="14"/>
  <c r="U119" i="14" s="1"/>
  <c r="T95" i="14"/>
  <c r="W95" i="14" s="1"/>
  <c r="T93" i="14"/>
  <c r="W93" i="14" s="1"/>
  <c r="R94" i="14"/>
  <c r="T92" i="14"/>
  <c r="W92" i="14" s="1"/>
  <c r="R85" i="14"/>
  <c r="U85" i="14" s="1"/>
  <c r="R83" i="14"/>
  <c r="U83" i="14" s="1"/>
  <c r="R81" i="14"/>
  <c r="U81" i="14" s="1"/>
  <c r="R79" i="14"/>
  <c r="U79" i="14" s="1"/>
  <c r="R77" i="14"/>
  <c r="U77" i="14" s="1"/>
  <c r="T53" i="14"/>
  <c r="W53" i="14" s="1"/>
  <c r="T51" i="14"/>
  <c r="W51" i="14" s="1"/>
  <c r="R52" i="14"/>
  <c r="U52" i="14" s="1"/>
  <c r="T50" i="14"/>
  <c r="W50" i="14" s="1"/>
  <c r="R43" i="14"/>
  <c r="U43" i="14" s="1"/>
  <c r="R41" i="14"/>
  <c r="U41" i="14" s="1"/>
  <c r="R39" i="14"/>
  <c r="U39" i="14" s="1"/>
  <c r="R37" i="14"/>
  <c r="U37" i="14" s="1"/>
  <c r="R35" i="14"/>
  <c r="T11" i="14"/>
  <c r="W11" i="14" s="1"/>
  <c r="T9" i="14"/>
  <c r="W9" i="14" s="1"/>
  <c r="R10" i="14"/>
  <c r="U10" i="14" s="1"/>
  <c r="T8" i="14"/>
  <c r="W8" i="14" s="1"/>
  <c r="R421" i="15"/>
  <c r="U421" i="15" s="1"/>
  <c r="R419" i="15"/>
  <c r="U419" i="15" s="1"/>
  <c r="R417" i="15"/>
  <c r="U417" i="15" s="1"/>
  <c r="R415" i="15"/>
  <c r="U415" i="15" s="1"/>
  <c r="R413" i="15"/>
  <c r="U413" i="15" s="1"/>
  <c r="T389" i="15"/>
  <c r="W389" i="15" s="1"/>
  <c r="T387" i="15"/>
  <c r="W387" i="15" s="1"/>
  <c r="R388" i="15"/>
  <c r="U388" i="15" s="1"/>
  <c r="T386" i="15"/>
  <c r="W386" i="15" s="1"/>
  <c r="R379" i="15"/>
  <c r="U379" i="15" s="1"/>
  <c r="R377" i="15"/>
  <c r="U377" i="15" s="1"/>
  <c r="R375" i="15"/>
  <c r="U375" i="15" s="1"/>
  <c r="R373" i="15"/>
  <c r="U373" i="15" s="1"/>
  <c r="R371" i="15"/>
  <c r="U371" i="15" s="1"/>
  <c r="T347" i="15"/>
  <c r="W347" i="15" s="1"/>
  <c r="T345" i="15"/>
  <c r="W345" i="15" s="1"/>
  <c r="R346" i="15"/>
  <c r="U346" i="15" s="1"/>
  <c r="T344" i="15"/>
  <c r="W344" i="15" s="1"/>
  <c r="R337" i="15"/>
  <c r="U337" i="15" s="1"/>
  <c r="R335" i="15"/>
  <c r="U335" i="15" s="1"/>
  <c r="R333" i="15"/>
  <c r="U333" i="15" s="1"/>
  <c r="R331" i="15"/>
  <c r="U331" i="15" s="1"/>
  <c r="R329" i="15"/>
  <c r="U329" i="15" s="1"/>
  <c r="T305" i="15"/>
  <c r="W305" i="15" s="1"/>
  <c r="T197" i="15"/>
  <c r="T191" i="15"/>
  <c r="W191" i="15" s="1"/>
  <c r="T189" i="15"/>
  <c r="W189" i="15" s="1"/>
  <c r="T187" i="15"/>
  <c r="W187" i="15" s="1"/>
  <c r="T185" i="15"/>
  <c r="W185" i="15" s="1"/>
  <c r="T183" i="15"/>
  <c r="W183" i="15" s="1"/>
  <c r="T177" i="15"/>
  <c r="W177" i="15" s="1"/>
  <c r="R178" i="15"/>
  <c r="U178" i="15" s="1"/>
  <c r="T176" i="15"/>
  <c r="W176" i="15" s="1"/>
  <c r="R169" i="15"/>
  <c r="U169" i="15" s="1"/>
  <c r="R167" i="15"/>
  <c r="U167" i="15" s="1"/>
  <c r="R165" i="15"/>
  <c r="U165" i="15" s="1"/>
  <c r="R163" i="15"/>
  <c r="U163" i="15" s="1"/>
  <c r="R161" i="15"/>
  <c r="U161" i="15" s="1"/>
  <c r="T137" i="15"/>
  <c r="W137" i="15" s="1"/>
  <c r="T135" i="15"/>
  <c r="W135" i="15" s="1"/>
  <c r="R136" i="15"/>
  <c r="U136" i="15" s="1"/>
  <c r="T134" i="15"/>
  <c r="W134" i="15" s="1"/>
  <c r="R127" i="15"/>
  <c r="U127" i="15" s="1"/>
  <c r="R125" i="15"/>
  <c r="U125" i="15" s="1"/>
  <c r="R123" i="15"/>
  <c r="U123" i="15" s="1"/>
  <c r="R121" i="15"/>
  <c r="U121" i="15" s="1"/>
  <c r="R119" i="15"/>
  <c r="U119" i="15" s="1"/>
  <c r="T95" i="15"/>
  <c r="W95" i="15" s="1"/>
  <c r="T407" i="16"/>
  <c r="W407" i="16" s="1"/>
  <c r="T401" i="16"/>
  <c r="W401" i="16" s="1"/>
  <c r="T399" i="16"/>
  <c r="W399" i="16" s="1"/>
  <c r="T397" i="16"/>
  <c r="W397" i="16" s="1"/>
  <c r="T395" i="16"/>
  <c r="W395" i="16" s="1"/>
  <c r="T393" i="16"/>
  <c r="W393" i="16" s="1"/>
  <c r="T349" i="16"/>
  <c r="W349" i="16" s="1"/>
  <c r="R295" i="16"/>
  <c r="U295" i="16" s="1"/>
  <c r="R293" i="16"/>
  <c r="U293" i="16" s="1"/>
  <c r="R291" i="16"/>
  <c r="U291" i="16" s="1"/>
  <c r="R289" i="16"/>
  <c r="U289" i="16" s="1"/>
  <c r="T265" i="16"/>
  <c r="W265" i="16" s="1"/>
  <c r="T197" i="16"/>
  <c r="T191" i="16"/>
  <c r="W191" i="16" s="1"/>
  <c r="T189" i="16"/>
  <c r="W189" i="16" s="1"/>
  <c r="T187" i="16"/>
  <c r="W187" i="16" s="1"/>
  <c r="T185" i="16"/>
  <c r="W185" i="16" s="1"/>
  <c r="T183" i="16"/>
  <c r="W183" i="16" s="1"/>
  <c r="R167" i="16"/>
  <c r="U167" i="16" s="1"/>
  <c r="R165" i="16"/>
  <c r="R163" i="16"/>
  <c r="U163" i="16" s="1"/>
  <c r="R161" i="16"/>
  <c r="U161" i="16" s="1"/>
  <c r="T137" i="16"/>
  <c r="W137" i="16" s="1"/>
  <c r="T113" i="16"/>
  <c r="W113" i="16" s="1"/>
  <c r="T107" i="16"/>
  <c r="W107" i="16" s="1"/>
  <c r="T105" i="16"/>
  <c r="W105" i="16" s="1"/>
  <c r="T103" i="16"/>
  <c r="W103" i="16" s="1"/>
  <c r="T101" i="16"/>
  <c r="W101" i="16" s="1"/>
  <c r="T99" i="16"/>
  <c r="W99" i="16" s="1"/>
  <c r="T97" i="16"/>
  <c r="W97" i="16" s="1"/>
  <c r="R62" i="16"/>
  <c r="U62" i="16" s="1"/>
  <c r="O217" i="18"/>
  <c r="Q196" i="18"/>
  <c r="Q70" i="18"/>
  <c r="O427" i="19"/>
  <c r="O406" i="19"/>
  <c r="Q343" i="19"/>
  <c r="O343" i="19"/>
  <c r="T114" i="18"/>
  <c r="W114" i="18" s="1"/>
  <c r="T120" i="18"/>
  <c r="W120" i="18" s="1"/>
  <c r="T122" i="18"/>
  <c r="W122" i="18" s="1"/>
  <c r="T124" i="18"/>
  <c r="W124" i="18" s="1"/>
  <c r="T126" i="18"/>
  <c r="W126" i="18" s="1"/>
  <c r="T128" i="18"/>
  <c r="W128" i="18" s="1"/>
  <c r="R12" i="18"/>
  <c r="R14" i="18"/>
  <c r="U14" i="18" s="1"/>
  <c r="R16" i="18"/>
  <c r="U16" i="18" s="1"/>
  <c r="R18" i="18"/>
  <c r="U18" i="18" s="1"/>
  <c r="R20" i="18"/>
  <c r="U20" i="18" s="1"/>
  <c r="R22" i="18"/>
  <c r="U22" i="18" s="1"/>
  <c r="O196" i="18"/>
  <c r="R138" i="18"/>
  <c r="O133" i="18"/>
  <c r="Q112" i="18"/>
  <c r="R71" i="18"/>
  <c r="U71" i="18" s="1"/>
  <c r="T44" i="18"/>
  <c r="W44" i="18" s="1"/>
  <c r="T40" i="18"/>
  <c r="W40" i="18" s="1"/>
  <c r="T36" i="18"/>
  <c r="W36" i="18" s="1"/>
  <c r="U29" i="18"/>
  <c r="U12" i="18"/>
  <c r="R392" i="22"/>
  <c r="U392" i="22" s="1"/>
  <c r="R398" i="22"/>
  <c r="U398" i="22" s="1"/>
  <c r="R369" i="22"/>
  <c r="U369" i="22" s="1"/>
  <c r="R377" i="22"/>
  <c r="U377" i="22" s="1"/>
  <c r="R350" i="22"/>
  <c r="U350" i="22" s="1"/>
  <c r="R346" i="22"/>
  <c r="U346" i="22" s="1"/>
  <c r="R356" i="22"/>
  <c r="U356" i="22" s="1"/>
  <c r="T302" i="19"/>
  <c r="R306" i="19"/>
  <c r="U306" i="19" s="1"/>
  <c r="T260" i="19"/>
  <c r="T280" i="19" s="1"/>
  <c r="R264" i="19"/>
  <c r="U264" i="19" s="1"/>
  <c r="T134" i="19"/>
  <c r="R138" i="19"/>
  <c r="U138" i="19" s="1"/>
  <c r="Q112" i="19"/>
  <c r="R29" i="19"/>
  <c r="U29" i="19" s="1"/>
  <c r="R8" i="19"/>
  <c r="T8" i="19"/>
  <c r="W8" i="19" s="1"/>
  <c r="R408" i="20"/>
  <c r="U408" i="20" s="1"/>
  <c r="R401" i="20"/>
  <c r="U401" i="20" s="1"/>
  <c r="R399" i="20"/>
  <c r="U399" i="20" s="1"/>
  <c r="R397" i="20"/>
  <c r="U397" i="20" s="1"/>
  <c r="R395" i="20"/>
  <c r="U395" i="20" s="1"/>
  <c r="R393" i="20"/>
  <c r="U393" i="20" s="1"/>
  <c r="R351" i="20"/>
  <c r="U351" i="20" s="1"/>
  <c r="R345" i="20"/>
  <c r="U345" i="20" s="1"/>
  <c r="R302" i="20"/>
  <c r="U302" i="20" s="1"/>
  <c r="R315" i="20"/>
  <c r="U315" i="20" s="1"/>
  <c r="T233" i="20"/>
  <c r="W233" i="20" s="1"/>
  <c r="T231" i="20"/>
  <c r="W231" i="20" s="1"/>
  <c r="T229" i="20"/>
  <c r="W229" i="20" s="1"/>
  <c r="T227" i="20"/>
  <c r="W227" i="20" s="1"/>
  <c r="T225" i="20"/>
  <c r="W225" i="20" s="1"/>
  <c r="T223" i="20"/>
  <c r="W223" i="20" s="1"/>
  <c r="T221" i="20"/>
  <c r="W221" i="20" s="1"/>
  <c r="T113" i="20"/>
  <c r="W113" i="20" s="1"/>
  <c r="R117" i="20"/>
  <c r="T71" i="20"/>
  <c r="W71" i="20" s="1"/>
  <c r="R75" i="20"/>
  <c r="U75" i="20" s="1"/>
  <c r="T365" i="21"/>
  <c r="R369" i="21"/>
  <c r="T323" i="21"/>
  <c r="T343" i="21" s="1"/>
  <c r="R327" i="21"/>
  <c r="U327" i="21" s="1"/>
  <c r="O301" i="21"/>
  <c r="T281" i="21"/>
  <c r="R189" i="21"/>
  <c r="U189" i="21" s="1"/>
  <c r="T176" i="21"/>
  <c r="R180" i="21"/>
  <c r="U180" i="21" s="1"/>
  <c r="T156" i="21"/>
  <c r="W156" i="21" s="1"/>
  <c r="R163" i="21"/>
  <c r="U163" i="21" s="1"/>
  <c r="R122" i="21"/>
  <c r="U122" i="21" s="1"/>
  <c r="T114" i="21"/>
  <c r="W114" i="21" s="1"/>
  <c r="T113" i="21"/>
  <c r="T116" i="21"/>
  <c r="W116" i="21" s="1"/>
  <c r="T106" i="21"/>
  <c r="W106" i="21" s="1"/>
  <c r="R98" i="21"/>
  <c r="U98" i="21" s="1"/>
  <c r="T86" i="21"/>
  <c r="W86" i="21" s="1"/>
  <c r="R85" i="21"/>
  <c r="U85" i="21" s="1"/>
  <c r="T83" i="21"/>
  <c r="W83" i="21" s="1"/>
  <c r="T81" i="21"/>
  <c r="W81" i="21" s="1"/>
  <c r="T79" i="21"/>
  <c r="W79" i="21" s="1"/>
  <c r="T77" i="21"/>
  <c r="W77" i="21" s="1"/>
  <c r="R65" i="21"/>
  <c r="U65" i="21" s="1"/>
  <c r="T44" i="21"/>
  <c r="W44" i="21" s="1"/>
  <c r="R36" i="21"/>
  <c r="U36" i="21" s="1"/>
  <c r="T30" i="21"/>
  <c r="W30" i="21" s="1"/>
  <c r="T29" i="21"/>
  <c r="R18" i="21"/>
  <c r="U18" i="21" s="1"/>
  <c r="Q427" i="22"/>
  <c r="Q406" i="22"/>
  <c r="Q364" i="22"/>
  <c r="O322" i="22"/>
  <c r="T296" i="22"/>
  <c r="W296" i="22" s="1"/>
  <c r="R212" i="22"/>
  <c r="U212" i="22" s="1"/>
  <c r="R210" i="22"/>
  <c r="U210" i="22" s="1"/>
  <c r="R208" i="22"/>
  <c r="U208" i="22" s="1"/>
  <c r="R206" i="22"/>
  <c r="U206" i="22" s="1"/>
  <c r="R204" i="22"/>
  <c r="U204" i="22" s="1"/>
  <c r="R202" i="22"/>
  <c r="U202" i="22" s="1"/>
  <c r="R200" i="22"/>
  <c r="U200" i="22" s="1"/>
  <c r="R176" i="22"/>
  <c r="U176" i="22" s="1"/>
  <c r="R329" i="22"/>
  <c r="U329" i="22" s="1"/>
  <c r="R337" i="22"/>
  <c r="U337" i="22" s="1"/>
  <c r="R302" i="22"/>
  <c r="R304" i="22"/>
  <c r="U304" i="22" s="1"/>
  <c r="R312" i="22"/>
  <c r="U312" i="22" s="1"/>
  <c r="R116" i="22"/>
  <c r="U116" i="22" s="1"/>
  <c r="R118" i="22"/>
  <c r="U118" i="22" s="1"/>
  <c r="R120" i="22"/>
  <c r="U120" i="22" s="1"/>
  <c r="R122" i="22"/>
  <c r="U122" i="22" s="1"/>
  <c r="R124" i="22"/>
  <c r="U124" i="22" s="1"/>
  <c r="R126" i="22"/>
  <c r="U126" i="22" s="1"/>
  <c r="R128" i="22"/>
  <c r="U128" i="22" s="1"/>
  <c r="R59" i="22"/>
  <c r="U59" i="22" s="1"/>
  <c r="R55" i="22"/>
  <c r="U55" i="22" s="1"/>
  <c r="O406" i="22"/>
  <c r="Q385" i="22"/>
  <c r="Q196" i="22"/>
  <c r="Q154" i="22"/>
  <c r="U302" i="22"/>
  <c r="W134" i="19"/>
  <c r="T154" i="19"/>
  <c r="W260" i="19"/>
  <c r="W302" i="19"/>
  <c r="W72" i="13"/>
  <c r="U60" i="8"/>
  <c r="W72" i="8"/>
  <c r="U335" i="8"/>
  <c r="W29" i="21"/>
  <c r="W113" i="21"/>
  <c r="U369" i="21"/>
  <c r="U117" i="20"/>
  <c r="U8" i="19"/>
  <c r="W197" i="16"/>
  <c r="W197" i="15"/>
  <c r="U94" i="14"/>
  <c r="U262" i="13"/>
  <c r="U333" i="11"/>
  <c r="W29" i="18"/>
  <c r="U281" i="9"/>
  <c r="U35" i="14"/>
  <c r="Q36" i="96"/>
  <c r="H185" i="96"/>
  <c r="R186" i="96"/>
  <c r="R96" i="96"/>
  <c r="M262" i="96"/>
  <c r="M204" i="96"/>
  <c r="M202" i="96"/>
  <c r="M198" i="96"/>
  <c r="M193" i="96"/>
  <c r="R216" i="96"/>
  <c r="R125" i="96"/>
  <c r="D65" i="96"/>
  <c r="B65" i="96"/>
  <c r="K221" i="96"/>
  <c r="M141" i="96"/>
  <c r="K7" i="98"/>
  <c r="J12" i="101"/>
  <c r="P75" i="98" s="1"/>
  <c r="J11" i="101"/>
  <c r="P74" i="98" s="1"/>
  <c r="K10" i="101"/>
  <c r="N104" i="98" s="1"/>
  <c r="G10" i="101"/>
  <c r="K9" i="101"/>
  <c r="N103" i="98" s="1"/>
  <c r="G9" i="101"/>
  <c r="P41" i="98" s="1"/>
  <c r="K8" i="101"/>
  <c r="N102" i="98" s="1"/>
  <c r="G8" i="101"/>
  <c r="P40" i="98" s="1"/>
  <c r="K7" i="101"/>
  <c r="N101" i="98" s="1"/>
  <c r="G7" i="101"/>
  <c r="P39" i="98" s="1"/>
  <c r="K6" i="101"/>
  <c r="G6" i="101"/>
  <c r="E11" i="101"/>
  <c r="N43" i="98" s="1"/>
  <c r="M10" i="101"/>
  <c r="P104" i="98" s="1"/>
  <c r="H10" i="101"/>
  <c r="N73" i="98" s="1"/>
  <c r="E10" i="101"/>
  <c r="N42" i="98" s="1"/>
  <c r="M9" i="101"/>
  <c r="P103" i="98" s="1"/>
  <c r="H9" i="101"/>
  <c r="N72" i="98" s="1"/>
  <c r="E9" i="101"/>
  <c r="N41" i="98" s="1"/>
  <c r="M8" i="101"/>
  <c r="P102" i="98" s="1"/>
  <c r="H8" i="101"/>
  <c r="N71" i="98" s="1"/>
  <c r="E8" i="101"/>
  <c r="N40" i="98" s="1"/>
  <c r="M7" i="101"/>
  <c r="P101" i="98" s="1"/>
  <c r="H7" i="101"/>
  <c r="N70" i="98" s="1"/>
  <c r="E7" i="101"/>
  <c r="N39" i="98" s="1"/>
  <c r="M6" i="101"/>
  <c r="P100" i="98" s="1"/>
  <c r="H6" i="101"/>
  <c r="N69" i="98" s="1"/>
  <c r="E6" i="101"/>
  <c r="N38" i="98" s="1"/>
  <c r="J6" i="101"/>
  <c r="P69" i="98" s="1"/>
  <c r="J7" i="101"/>
  <c r="P70" i="98" s="1"/>
  <c r="J8" i="101"/>
  <c r="P71" i="98" s="1"/>
  <c r="J9" i="101"/>
  <c r="P72" i="98" s="1"/>
  <c r="J10" i="101"/>
  <c r="P73" i="98" s="1"/>
  <c r="G11" i="101"/>
  <c r="P43" i="98" s="1"/>
  <c r="K11" i="101"/>
  <c r="N105" i="98" s="1"/>
  <c r="G12" i="101"/>
  <c r="P44" i="98" s="1"/>
  <c r="K12" i="101"/>
  <c r="N106" i="98" s="1"/>
  <c r="K14" i="101"/>
  <c r="N108" i="98" s="1"/>
  <c r="K16" i="101"/>
  <c r="N110" i="98" s="1"/>
  <c r="K18" i="101"/>
  <c r="N112" i="98" s="1"/>
  <c r="K20" i="101"/>
  <c r="N114" i="98" s="1"/>
  <c r="K22" i="101"/>
  <c r="N116" i="98" s="1"/>
  <c r="K24" i="101"/>
  <c r="N118" i="98" s="1"/>
  <c r="K26" i="101"/>
  <c r="N120" i="98" s="1"/>
  <c r="K28" i="101"/>
  <c r="N122" i="98" s="1"/>
  <c r="K30" i="101"/>
  <c r="N124" i="98" s="1"/>
  <c r="H30" i="101"/>
  <c r="N93" i="98" s="1"/>
  <c r="K13" i="101"/>
  <c r="N107" i="98" s="1"/>
  <c r="K15" i="101"/>
  <c r="N109" i="98" s="1"/>
  <c r="K17" i="101"/>
  <c r="N111" i="98" s="1"/>
  <c r="K19" i="101"/>
  <c r="N113" i="98" s="1"/>
  <c r="K21" i="101"/>
  <c r="N115" i="98" s="1"/>
  <c r="K23" i="101"/>
  <c r="N117" i="98" s="1"/>
  <c r="K25" i="101"/>
  <c r="N119" i="98" s="1"/>
  <c r="K27" i="101"/>
  <c r="N121" i="98" s="1"/>
  <c r="K29" i="101"/>
  <c r="N123" i="98" s="1"/>
  <c r="H29" i="101"/>
  <c r="N92" i="98" s="1"/>
  <c r="E29" i="101"/>
  <c r="N61" i="98" s="1"/>
  <c r="H28" i="101"/>
  <c r="N91" i="98" s="1"/>
  <c r="E28" i="101"/>
  <c r="N60" i="98" s="1"/>
  <c r="H27" i="101"/>
  <c r="N90" i="98" s="1"/>
  <c r="E27" i="101"/>
  <c r="N59" i="98" s="1"/>
  <c r="H26" i="101"/>
  <c r="N89" i="98" s="1"/>
  <c r="E26" i="101"/>
  <c r="N58" i="98" s="1"/>
  <c r="H25" i="101"/>
  <c r="N88" i="98" s="1"/>
  <c r="E25" i="101"/>
  <c r="N57" i="98" s="1"/>
  <c r="H24" i="101"/>
  <c r="N87" i="98" s="1"/>
  <c r="E24" i="101"/>
  <c r="N56" i="98" s="1"/>
  <c r="H23" i="101"/>
  <c r="N86" i="98" s="1"/>
  <c r="E23" i="101"/>
  <c r="N55" i="98" s="1"/>
  <c r="H22" i="101"/>
  <c r="N85" i="98" s="1"/>
  <c r="E22" i="101"/>
  <c r="N54" i="98" s="1"/>
  <c r="H21" i="101"/>
  <c r="N84" i="98" s="1"/>
  <c r="E21" i="101"/>
  <c r="N53" i="98" s="1"/>
  <c r="H20" i="101"/>
  <c r="N83" i="98" s="1"/>
  <c r="E20" i="101"/>
  <c r="N52" i="98" s="1"/>
  <c r="H19" i="101"/>
  <c r="N82" i="98" s="1"/>
  <c r="E19" i="101"/>
  <c r="N51" i="98" s="1"/>
  <c r="H18" i="101"/>
  <c r="N81" i="98" s="1"/>
  <c r="E18" i="101"/>
  <c r="N50" i="98" s="1"/>
  <c r="H17" i="101"/>
  <c r="N80" i="98" s="1"/>
  <c r="E17" i="101"/>
  <c r="N49" i="98" s="1"/>
  <c r="H16" i="101"/>
  <c r="N79" i="98" s="1"/>
  <c r="E16" i="101"/>
  <c r="N48" i="98" s="1"/>
  <c r="H15" i="101"/>
  <c r="N78" i="98" s="1"/>
  <c r="E15" i="101"/>
  <c r="N47" i="98" s="1"/>
  <c r="H14" i="101"/>
  <c r="N77" i="98" s="1"/>
  <c r="E14" i="101"/>
  <c r="N46" i="98" s="1"/>
  <c r="H13" i="101"/>
  <c r="N76" i="98" s="1"/>
  <c r="E13" i="101"/>
  <c r="N45" i="98" s="1"/>
  <c r="H12" i="101"/>
  <c r="N75" i="98" s="1"/>
  <c r="E12" i="101"/>
  <c r="N44" i="98" s="1"/>
  <c r="H11" i="101"/>
  <c r="N74" i="98" s="1"/>
  <c r="M30" i="101"/>
  <c r="P124" i="98" s="1"/>
  <c r="J30" i="101"/>
  <c r="P93" i="98" s="1"/>
  <c r="G30" i="101"/>
  <c r="M29" i="101"/>
  <c r="P123" i="98" s="1"/>
  <c r="J29" i="101"/>
  <c r="P92" i="98" s="1"/>
  <c r="G29" i="101"/>
  <c r="P61" i="98" s="1"/>
  <c r="M28" i="101"/>
  <c r="P122" i="98" s="1"/>
  <c r="J28" i="101"/>
  <c r="P91" i="98" s="1"/>
  <c r="G28" i="101"/>
  <c r="P60" i="98" s="1"/>
  <c r="M27" i="101"/>
  <c r="P121" i="98" s="1"/>
  <c r="J27" i="101"/>
  <c r="P90" i="98" s="1"/>
  <c r="G27" i="101"/>
  <c r="P59" i="98" s="1"/>
  <c r="M26" i="101"/>
  <c r="P120" i="98" s="1"/>
  <c r="J26" i="101"/>
  <c r="P89" i="98" s="1"/>
  <c r="G26" i="101"/>
  <c r="M25" i="101"/>
  <c r="P119" i="98" s="1"/>
  <c r="J25" i="101"/>
  <c r="P88" i="98" s="1"/>
  <c r="G25" i="101"/>
  <c r="P57" i="98" s="1"/>
  <c r="M24" i="101"/>
  <c r="P118" i="98" s="1"/>
  <c r="J24" i="101"/>
  <c r="P87" i="98" s="1"/>
  <c r="G24" i="101"/>
  <c r="P56" i="98" s="1"/>
  <c r="M23" i="101"/>
  <c r="P117" i="98" s="1"/>
  <c r="J23" i="101"/>
  <c r="P86" i="98" s="1"/>
  <c r="G23" i="101"/>
  <c r="M22" i="101"/>
  <c r="P116" i="98" s="1"/>
  <c r="J22" i="101"/>
  <c r="P85" i="98" s="1"/>
  <c r="G22" i="101"/>
  <c r="P54" i="98" s="1"/>
  <c r="M21" i="101"/>
  <c r="P115" i="98" s="1"/>
  <c r="J21" i="101"/>
  <c r="P84" i="98" s="1"/>
  <c r="G21" i="101"/>
  <c r="P53" i="98" s="1"/>
  <c r="M20" i="101"/>
  <c r="P114" i="98" s="1"/>
  <c r="J20" i="101"/>
  <c r="P83" i="98" s="1"/>
  <c r="G20" i="101"/>
  <c r="P52" i="98" s="1"/>
  <c r="M19" i="101"/>
  <c r="P113" i="98" s="1"/>
  <c r="J19" i="101"/>
  <c r="P82" i="98" s="1"/>
  <c r="G19" i="101"/>
  <c r="M18" i="101"/>
  <c r="P112" i="98" s="1"/>
  <c r="J18" i="101"/>
  <c r="P81" i="98" s="1"/>
  <c r="G18" i="101"/>
  <c r="P50" i="98" s="1"/>
  <c r="M17" i="101"/>
  <c r="P111" i="98" s="1"/>
  <c r="J17" i="101"/>
  <c r="P80" i="98" s="1"/>
  <c r="G17" i="101"/>
  <c r="P49" i="98" s="1"/>
  <c r="M16" i="101"/>
  <c r="P110" i="98" s="1"/>
  <c r="J16" i="101"/>
  <c r="P79" i="98" s="1"/>
  <c r="G16" i="101"/>
  <c r="P48" i="98" s="1"/>
  <c r="M15" i="101"/>
  <c r="P109" i="98" s="1"/>
  <c r="J15" i="101"/>
  <c r="P78" i="98" s="1"/>
  <c r="G15" i="101"/>
  <c r="P47" i="98" s="1"/>
  <c r="M14" i="101"/>
  <c r="P108" i="98" s="1"/>
  <c r="J14" i="101"/>
  <c r="P77" i="98" s="1"/>
  <c r="G14" i="101"/>
  <c r="P46" i="98" s="1"/>
  <c r="M13" i="101"/>
  <c r="P107" i="98" s="1"/>
  <c r="J13" i="101"/>
  <c r="P76" i="98" s="1"/>
  <c r="G13" i="101"/>
  <c r="P45" i="98" s="1"/>
  <c r="M11" i="101"/>
  <c r="P105" i="98" s="1"/>
  <c r="M12" i="101"/>
  <c r="P106" i="98" s="1"/>
  <c r="E30" i="101"/>
  <c r="N62" i="98" s="1"/>
  <c r="M219" i="96"/>
  <c r="K204" i="96"/>
  <c r="K197" i="96"/>
  <c r="M118" i="96"/>
  <c r="M227" i="96"/>
  <c r="E10" i="105"/>
  <c r="K42" i="98" s="1"/>
  <c r="M9" i="105"/>
  <c r="M103" i="98" s="1"/>
  <c r="M8" i="105"/>
  <c r="M102" i="98" s="1"/>
  <c r="H8" i="105"/>
  <c r="K71" i="98" s="1"/>
  <c r="H7" i="105"/>
  <c r="K70" i="98" s="1"/>
  <c r="E7" i="105"/>
  <c r="K39" i="98" s="1"/>
  <c r="E6" i="105"/>
  <c r="K38" i="98" s="1"/>
  <c r="H30" i="105"/>
  <c r="K93" i="98" s="1"/>
  <c r="K10" i="105"/>
  <c r="K104" i="98" s="1"/>
  <c r="G10" i="105"/>
  <c r="M42" i="98" s="1"/>
  <c r="K8" i="105"/>
  <c r="K102" i="98" s="1"/>
  <c r="G8" i="105"/>
  <c r="K6" i="105"/>
  <c r="G6" i="105"/>
  <c r="M38" i="98" s="1"/>
  <c r="K17" i="105"/>
  <c r="K111" i="98" s="1"/>
  <c r="G30" i="105"/>
  <c r="M62" i="98" s="1"/>
  <c r="G29" i="105"/>
  <c r="M61" i="98" s="1"/>
  <c r="G26" i="105"/>
  <c r="M58" i="98" s="1"/>
  <c r="G25" i="105"/>
  <c r="M57" i="98" s="1"/>
  <c r="G22" i="105"/>
  <c r="M54" i="98" s="1"/>
  <c r="G21" i="105"/>
  <c r="M53" i="98" s="1"/>
  <c r="G18" i="105"/>
  <c r="M50" i="98" s="1"/>
  <c r="G17" i="105"/>
  <c r="M49" i="98" s="1"/>
  <c r="M14" i="105"/>
  <c r="M108" i="98" s="1"/>
  <c r="K229" i="96"/>
  <c r="K210" i="96"/>
  <c r="M119" i="96"/>
  <c r="M107" i="96"/>
  <c r="K41" i="96"/>
  <c r="K230" i="96"/>
  <c r="M224" i="96"/>
  <c r="M120" i="96"/>
  <c r="M111" i="96"/>
  <c r="M103" i="96"/>
  <c r="M236" i="96"/>
  <c r="M129" i="96"/>
  <c r="K45" i="96"/>
  <c r="M252" i="96"/>
  <c r="K248" i="96"/>
  <c r="K239" i="96"/>
  <c r="M230" i="96"/>
  <c r="M210" i="96"/>
  <c r="M117" i="96"/>
  <c r="K90" i="96"/>
  <c r="M76" i="96"/>
  <c r="K38" i="96"/>
  <c r="K247" i="96"/>
  <c r="K206" i="96"/>
  <c r="M196" i="96"/>
  <c r="M116" i="96"/>
  <c r="K113" i="96"/>
  <c r="M53" i="96"/>
  <c r="K250" i="96"/>
  <c r="K240" i="96"/>
  <c r="K237" i="96"/>
  <c r="M228" i="96"/>
  <c r="M208" i="96"/>
  <c r="M206" i="96"/>
  <c r="K139" i="96"/>
  <c r="K129" i="96"/>
  <c r="M115" i="96"/>
  <c r="M113" i="96"/>
  <c r="K84" i="96"/>
  <c r="M44" i="96"/>
  <c r="K258" i="96"/>
  <c r="K256" i="96"/>
  <c r="K252" i="96"/>
  <c r="K249" i="96"/>
  <c r="K138" i="96"/>
  <c r="K128" i="96"/>
  <c r="M81" i="96"/>
  <c r="D5" i="105"/>
  <c r="G13" i="103"/>
  <c r="E210" i="104"/>
  <c r="K9" i="103"/>
  <c r="E11" i="103"/>
  <c r="H8" i="103"/>
  <c r="J6" i="103"/>
  <c r="K12" i="103"/>
  <c r="K28" i="103"/>
  <c r="K25" i="103"/>
  <c r="H27" i="103"/>
  <c r="H23" i="103"/>
  <c r="H18" i="103"/>
  <c r="H12" i="103"/>
  <c r="M29" i="103"/>
  <c r="J25" i="103"/>
  <c r="M22" i="103"/>
  <c r="G20" i="103"/>
  <c r="G18" i="103"/>
  <c r="M13" i="103"/>
  <c r="E12" i="103"/>
  <c r="G10" i="103"/>
  <c r="G6" i="103"/>
  <c r="M8" i="103"/>
  <c r="E6" i="103"/>
  <c r="G12" i="103"/>
  <c r="K26" i="103"/>
  <c r="K23" i="103"/>
  <c r="E28" i="103"/>
  <c r="E24" i="103"/>
  <c r="E19" i="103"/>
  <c r="E13" i="103"/>
  <c r="G30" i="103"/>
  <c r="G25" i="103"/>
  <c r="J22" i="103"/>
  <c r="M19" i="103"/>
  <c r="G17" i="103"/>
  <c r="J13" i="103"/>
  <c r="H13" i="103"/>
  <c r="M149" i="96"/>
  <c r="M84" i="96"/>
  <c r="K259" i="96"/>
  <c r="K257" i="96"/>
  <c r="K255" i="96"/>
  <c r="K253" i="96"/>
  <c r="K251" i="96"/>
  <c r="M239" i="96"/>
  <c r="K148" i="96"/>
  <c r="K127" i="96"/>
  <c r="K75" i="96"/>
  <c r="M234" i="96"/>
  <c r="M232" i="96"/>
  <c r="K227" i="96"/>
  <c r="K225" i="96"/>
  <c r="K223" i="96"/>
  <c r="M221" i="96"/>
  <c r="K188" i="96"/>
  <c r="M139" i="96"/>
  <c r="M136" i="96"/>
  <c r="K133" i="96"/>
  <c r="M114" i="96"/>
  <c r="M112" i="96"/>
  <c r="M110" i="96"/>
  <c r="M57" i="96"/>
  <c r="M265" i="96"/>
  <c r="M263" i="96"/>
  <c r="K260" i="96"/>
  <c r="M217" i="96"/>
  <c r="M180" i="96"/>
  <c r="M170" i="96"/>
  <c r="M162" i="96"/>
  <c r="M105" i="96"/>
  <c r="M101" i="96"/>
  <c r="M99" i="96"/>
  <c r="M97" i="96"/>
  <c r="K69" i="96"/>
  <c r="K268" i="96"/>
  <c r="M237" i="96"/>
  <c r="M191" i="96"/>
  <c r="K180" i="96"/>
  <c r="K172" i="96"/>
  <c r="K164" i="96"/>
  <c r="K149" i="96"/>
  <c r="M147" i="96"/>
  <c r="M145" i="96"/>
  <c r="M106" i="96"/>
  <c r="K97" i="96"/>
  <c r="K42" i="96"/>
  <c r="D95" i="96"/>
  <c r="K267" i="96"/>
  <c r="M225" i="96"/>
  <c r="M223" i="96"/>
  <c r="M194" i="96"/>
  <c r="M192" i="96"/>
  <c r="M190" i="96"/>
  <c r="M188" i="96"/>
  <c r="K177" i="96"/>
  <c r="K169" i="96"/>
  <c r="K161" i="96"/>
  <c r="M148" i="96"/>
  <c r="K131" i="96"/>
  <c r="K56" i="96"/>
  <c r="K47" i="96"/>
  <c r="H35" i="96"/>
  <c r="M248" i="96"/>
  <c r="M233" i="96"/>
  <c r="M200" i="96"/>
  <c r="K193" i="96"/>
  <c r="K191" i="96"/>
  <c r="K189" i="96"/>
  <c r="K187" i="96"/>
  <c r="M179" i="96"/>
  <c r="M177" i="96"/>
  <c r="M175" i="96"/>
  <c r="M173" i="96"/>
  <c r="M171" i="96"/>
  <c r="M169" i="96"/>
  <c r="M167" i="96"/>
  <c r="M165" i="96"/>
  <c r="M163" i="96"/>
  <c r="M161" i="96"/>
  <c r="M159" i="96"/>
  <c r="M157" i="96"/>
  <c r="K145" i="96"/>
  <c r="M143" i="96"/>
  <c r="M109" i="96"/>
  <c r="M100" i="96"/>
  <c r="P58" i="98"/>
  <c r="G15" i="103"/>
  <c r="H11" i="103"/>
  <c r="M12" i="103"/>
  <c r="J16" i="103"/>
  <c r="G19" i="103"/>
  <c r="M21" i="103"/>
  <c r="J24" i="103"/>
  <c r="J29" i="103"/>
  <c r="J28" i="103"/>
  <c r="E18" i="103"/>
  <c r="E23" i="103"/>
  <c r="E27" i="103"/>
  <c r="K27" i="103"/>
  <c r="K30" i="103"/>
  <c r="K14" i="103"/>
  <c r="J7" i="103"/>
  <c r="E8" i="103"/>
  <c r="M10" i="103"/>
  <c r="G9" i="103"/>
  <c r="M27" i="103"/>
  <c r="E20" i="103"/>
  <c r="J17" i="103"/>
  <c r="J19" i="103"/>
  <c r="G22" i="103"/>
  <c r="M24" i="103"/>
  <c r="G29" i="103"/>
  <c r="M28" i="103"/>
  <c r="H17" i="103"/>
  <c r="H22" i="103"/>
  <c r="H26" i="103"/>
  <c r="K29" i="103"/>
  <c r="K13" i="103"/>
  <c r="K16" i="103"/>
  <c r="J8" i="103"/>
  <c r="M7" i="103"/>
  <c r="H10" i="103"/>
  <c r="K8" i="103"/>
  <c r="J15" i="103"/>
  <c r="G16" i="103"/>
  <c r="G28" i="103"/>
  <c r="H19" i="103"/>
  <c r="M14" i="103"/>
  <c r="J18" i="103"/>
  <c r="G21" i="103"/>
  <c r="M23" i="103"/>
  <c r="J26" i="103"/>
  <c r="G27" i="103"/>
  <c r="E17" i="103"/>
  <c r="E22" i="103"/>
  <c r="E26" i="103"/>
  <c r="E30" i="103"/>
  <c r="K15" i="103"/>
  <c r="K18" i="103"/>
  <c r="J9" i="103"/>
  <c r="H7" i="103"/>
  <c r="E10" i="103"/>
  <c r="G8" i="103"/>
  <c r="H30" i="103"/>
  <c r="E16" i="103"/>
  <c r="M16" i="103"/>
  <c r="M18" i="103"/>
  <c r="J21" i="103"/>
  <c r="G24" i="103"/>
  <c r="M26" i="103"/>
  <c r="J27" i="103"/>
  <c r="H16" i="103"/>
  <c r="H21" i="103"/>
  <c r="H25" i="103"/>
  <c r="H29" i="103"/>
  <c r="K17" i="103"/>
  <c r="K20" i="103"/>
  <c r="J10" i="103"/>
  <c r="E7" i="103"/>
  <c r="M9" i="103"/>
  <c r="K7" i="103"/>
  <c r="J12" i="103"/>
  <c r="M11" i="103"/>
  <c r="H15" i="103"/>
  <c r="G14" i="103"/>
  <c r="M17" i="103"/>
  <c r="J20" i="103"/>
  <c r="G23" i="103"/>
  <c r="M25" i="103"/>
  <c r="M30" i="103"/>
  <c r="E15" i="103"/>
  <c r="E21" i="103"/>
  <c r="E25" i="103"/>
  <c r="E29" i="103"/>
  <c r="K19" i="103"/>
  <c r="K22" i="103"/>
  <c r="G11" i="103"/>
  <c r="M6" i="103"/>
  <c r="H9" i="103"/>
  <c r="G7" i="103"/>
  <c r="J11" i="103"/>
  <c r="E14" i="103"/>
  <c r="J14" i="103"/>
  <c r="M20" i="103"/>
  <c r="J23" i="103"/>
  <c r="G26" i="103"/>
  <c r="J30" i="103"/>
  <c r="H14" i="103"/>
  <c r="H20" i="103"/>
  <c r="H24" i="103"/>
  <c r="H28" i="103"/>
  <c r="K21" i="103"/>
  <c r="K24" i="103"/>
  <c r="K11" i="103"/>
  <c r="H6" i="103"/>
  <c r="E9" i="103"/>
  <c r="K6" i="103"/>
  <c r="K10" i="103"/>
  <c r="M15" i="103"/>
  <c r="B5" i="103"/>
  <c r="K270" i="96"/>
  <c r="K264" i="96"/>
  <c r="K262" i="96"/>
  <c r="M260" i="96"/>
  <c r="M258" i="96"/>
  <c r="M256" i="96"/>
  <c r="M254" i="96"/>
  <c r="K238" i="96"/>
  <c r="K236" i="96"/>
  <c r="M209" i="96"/>
  <c r="M207" i="96"/>
  <c r="M203" i="96"/>
  <c r="M197" i="96"/>
  <c r="M195" i="96"/>
  <c r="M189" i="96"/>
  <c r="M187" i="96"/>
  <c r="K179" i="96"/>
  <c r="K175" i="96"/>
  <c r="K173" i="96"/>
  <c r="K171" i="96"/>
  <c r="K167" i="96"/>
  <c r="K165" i="96"/>
  <c r="K163" i="96"/>
  <c r="K159" i="96"/>
  <c r="K157" i="96"/>
  <c r="M150" i="96"/>
  <c r="M146" i="96"/>
  <c r="M144" i="96"/>
  <c r="M140" i="96"/>
  <c r="M138" i="96"/>
  <c r="M134" i="96"/>
  <c r="M132" i="96"/>
  <c r="M130" i="96"/>
  <c r="K120" i="96"/>
  <c r="K114" i="96"/>
  <c r="K104" i="96"/>
  <c r="K102" i="96"/>
  <c r="K100" i="96"/>
  <c r="K98" i="96"/>
  <c r="M79" i="96"/>
  <c r="M77" i="96"/>
  <c r="M75" i="96"/>
  <c r="M69" i="96"/>
  <c r="M67" i="96"/>
  <c r="M59" i="96"/>
  <c r="M55" i="96"/>
  <c r="M51" i="96"/>
  <c r="K44" i="96"/>
  <c r="K40" i="96"/>
  <c r="B185" i="96"/>
  <c r="R215" i="96"/>
  <c r="M40" i="96"/>
  <c r="M246" i="96"/>
  <c r="M245" i="96" s="1"/>
  <c r="R66" i="96"/>
  <c r="K216" i="96"/>
  <c r="K215" i="96" s="1"/>
  <c r="K231" i="96"/>
  <c r="K199" i="96"/>
  <c r="M156" i="96"/>
  <c r="M155" i="96" s="1"/>
  <c r="K67" i="96"/>
  <c r="M238" i="96"/>
  <c r="K269" i="96"/>
  <c r="M261" i="96"/>
  <c r="M259" i="96"/>
  <c r="M255" i="96"/>
  <c r="M104" i="96"/>
  <c r="M102" i="96"/>
  <c r="M98" i="96"/>
  <c r="K70" i="96"/>
  <c r="M205" i="96"/>
  <c r="M201" i="96"/>
  <c r="K194" i="96"/>
  <c r="K192" i="96"/>
  <c r="K190" i="96"/>
  <c r="K147" i="96"/>
  <c r="K143" i="96"/>
  <c r="K141" i="96"/>
  <c r="K137" i="96"/>
  <c r="K135" i="96"/>
  <c r="M70" i="96"/>
  <c r="K59" i="96"/>
  <c r="K57" i="96"/>
  <c r="K55" i="96"/>
  <c r="K53" i="96"/>
  <c r="K51" i="96"/>
  <c r="M49" i="96"/>
  <c r="M43" i="96"/>
  <c r="M38" i="96"/>
  <c r="M240" i="96"/>
  <c r="K235" i="96"/>
  <c r="K233" i="96"/>
  <c r="M231" i="96"/>
  <c r="M229" i="96"/>
  <c r="M133" i="96"/>
  <c r="M131" i="96"/>
  <c r="K87" i="96"/>
  <c r="K85" i="96"/>
  <c r="K81" i="96"/>
  <c r="K74" i="96"/>
  <c r="K71" i="96"/>
  <c r="K228" i="96"/>
  <c r="K224" i="96"/>
  <c r="K222" i="96"/>
  <c r="K218" i="96"/>
  <c r="M178" i="96"/>
  <c r="M176" i="96"/>
  <c r="M174" i="96"/>
  <c r="M172" i="96"/>
  <c r="M168" i="96"/>
  <c r="M166" i="96"/>
  <c r="M164" i="96"/>
  <c r="M160" i="96"/>
  <c r="M158" i="96"/>
  <c r="K118" i="96"/>
  <c r="K116" i="96"/>
  <c r="K112" i="96"/>
  <c r="K110" i="96"/>
  <c r="K108" i="96"/>
  <c r="K106" i="96"/>
  <c r="M127" i="96"/>
  <c r="M66" i="96"/>
  <c r="S66" i="96" s="1"/>
  <c r="B95" i="96"/>
  <c r="R36" i="96"/>
  <c r="D245" i="96"/>
  <c r="Q155" i="96"/>
  <c r="K66" i="96"/>
  <c r="K65" i="96" s="1"/>
  <c r="T65" i="96" s="1"/>
  <c r="O65" i="96" s="1"/>
  <c r="M268" i="96"/>
  <c r="M71" i="96"/>
  <c r="M60" i="96"/>
  <c r="R156" i="96"/>
  <c r="K36" i="96"/>
  <c r="K35" i="96" s="1"/>
  <c r="T35" i="96" s="1"/>
  <c r="M96" i="96"/>
  <c r="S96" i="96" s="1"/>
  <c r="D185" i="96"/>
  <c r="B35" i="96"/>
  <c r="M186" i="96"/>
  <c r="M185" i="96" s="1"/>
  <c r="T186" i="96" s="1"/>
  <c r="O186" i="96" s="1"/>
  <c r="J155" i="96"/>
  <c r="M137" i="96"/>
  <c r="K96" i="96"/>
  <c r="K95" i="96" s="1"/>
  <c r="T95" i="96" s="1"/>
  <c r="M36" i="96"/>
  <c r="S36" i="96" s="1"/>
  <c r="K266" i="96"/>
  <c r="M39" i="96"/>
  <c r="M37" i="96"/>
  <c r="M250" i="96"/>
  <c r="K217" i="96"/>
  <c r="K144" i="96"/>
  <c r="M89" i="96"/>
  <c r="M87" i="96"/>
  <c r="M85" i="96"/>
  <c r="M83" i="96"/>
  <c r="M73" i="96"/>
  <c r="M45" i="96"/>
  <c r="M267" i="96"/>
  <c r="M222" i="96"/>
  <c r="M142" i="96"/>
  <c r="M135" i="96"/>
  <c r="K78" i="96"/>
  <c r="M54" i="96"/>
  <c r="M41" i="96"/>
  <c r="M269" i="96"/>
  <c r="K200" i="96"/>
  <c r="K134" i="96"/>
  <c r="M108" i="96"/>
  <c r="K208" i="96"/>
  <c r="K115" i="96"/>
  <c r="K68" i="96"/>
  <c r="K86" i="96"/>
  <c r="K80" i="96"/>
  <c r="K79" i="96"/>
  <c r="K60" i="96"/>
  <c r="K54" i="96"/>
  <c r="K50" i="96"/>
  <c r="K219" i="96"/>
  <c r="M78" i="96"/>
  <c r="K88" i="96"/>
  <c r="K49" i="96"/>
  <c r="M72" i="96"/>
  <c r="J245" i="96"/>
  <c r="R246" i="96"/>
  <c r="Q125" i="96"/>
  <c r="K126" i="96"/>
  <c r="K125" i="96" s="1"/>
  <c r="B125" i="96"/>
  <c r="M218" i="96"/>
  <c r="K119" i="96"/>
  <c r="K117" i="96"/>
  <c r="K111" i="96"/>
  <c r="K109" i="96"/>
  <c r="K107" i="96"/>
  <c r="K105" i="96"/>
  <c r="K103" i="96"/>
  <c r="K101" i="96"/>
  <c r="K99" i="96"/>
  <c r="B215" i="96"/>
  <c r="Q215" i="96"/>
  <c r="H155" i="96"/>
  <c r="K156" i="96"/>
  <c r="K155" i="96" s="1"/>
  <c r="R155" i="96"/>
  <c r="K209" i="96"/>
  <c r="K207" i="96"/>
  <c r="K205" i="96"/>
  <c r="K203" i="96"/>
  <c r="K198" i="96"/>
  <c r="K196" i="96"/>
  <c r="K178" i="96"/>
  <c r="K176" i="96"/>
  <c r="K174" i="96"/>
  <c r="K170" i="96"/>
  <c r="K168" i="96"/>
  <c r="K166" i="96"/>
  <c r="K162" i="96"/>
  <c r="K160" i="96"/>
  <c r="K158" i="96"/>
  <c r="M68" i="96"/>
  <c r="R245" i="96"/>
  <c r="K246" i="96"/>
  <c r="S245" i="96" s="1"/>
  <c r="H245" i="96"/>
  <c r="M126" i="96"/>
  <c r="M125" i="96" s="1"/>
  <c r="Q126" i="96"/>
  <c r="D125" i="96"/>
  <c r="M270" i="96"/>
  <c r="K265" i="96"/>
  <c r="K263" i="96"/>
  <c r="M257" i="96"/>
  <c r="M253" i="96"/>
  <c r="M251" i="96"/>
  <c r="M249" i="96"/>
  <c r="M247" i="96"/>
  <c r="K150" i="96"/>
  <c r="K146" i="96"/>
  <c r="K142" i="96"/>
  <c r="K140" i="96"/>
  <c r="K136" i="96"/>
  <c r="K132" i="96"/>
  <c r="K130" i="96"/>
  <c r="K77" i="96"/>
  <c r="M216" i="96"/>
  <c r="M215" i="96" s="1"/>
  <c r="Q216" i="96"/>
  <c r="D215" i="96"/>
  <c r="K234" i="96"/>
  <c r="K232" i="96"/>
  <c r="K226" i="96"/>
  <c r="K220" i="96"/>
  <c r="M128" i="96"/>
  <c r="M47" i="96"/>
  <c r="M42" i="96"/>
  <c r="K261" i="96"/>
  <c r="M80" i="96"/>
  <c r="M48" i="96"/>
  <c r="K76" i="96"/>
  <c r="K72" i="96"/>
  <c r="K48" i="96"/>
  <c r="M74" i="96"/>
  <c r="M50" i="96"/>
  <c r="M46" i="96"/>
  <c r="M266" i="96"/>
  <c r="M88" i="96"/>
  <c r="K82" i="96"/>
  <c r="K73" i="96"/>
  <c r="K43" i="96"/>
  <c r="K89" i="96"/>
  <c r="K83" i="96"/>
  <c r="M52" i="96"/>
  <c r="M90" i="96"/>
  <c r="M86" i="96"/>
  <c r="M82" i="96"/>
  <c r="K46" i="96"/>
  <c r="P38" i="98"/>
  <c r="P42" i="98"/>
  <c r="P55" i="98"/>
  <c r="P62" i="98"/>
  <c r="N100" i="98"/>
  <c r="R70" i="19"/>
  <c r="W29" i="20"/>
  <c r="U74" i="22"/>
  <c r="U49" i="16"/>
  <c r="U133" i="17"/>
  <c r="W71" i="22"/>
  <c r="W280" i="17"/>
  <c r="Q427" i="12"/>
  <c r="R98" i="13"/>
  <c r="U98" i="13" s="1"/>
  <c r="R71" i="13"/>
  <c r="U71" i="13" s="1"/>
  <c r="T113" i="14"/>
  <c r="W113" i="14" s="1"/>
  <c r="R302" i="15"/>
  <c r="U302" i="15" s="1"/>
  <c r="T221" i="15"/>
  <c r="W221" i="15" s="1"/>
  <c r="Q322" i="16"/>
  <c r="O364" i="16"/>
  <c r="R260" i="8"/>
  <c r="U260" i="8" s="1"/>
  <c r="T74" i="8"/>
  <c r="W74" i="8" s="1"/>
  <c r="R73" i="8"/>
  <c r="U73" i="8" s="1"/>
  <c r="R52" i="8"/>
  <c r="U52" i="8" s="1"/>
  <c r="O280" i="10"/>
  <c r="R54" i="10"/>
  <c r="R344" i="11"/>
  <c r="T345" i="11"/>
  <c r="W345" i="11" s="1"/>
  <c r="T411" i="12"/>
  <c r="W411" i="12" s="1"/>
  <c r="R281" i="12"/>
  <c r="R289" i="12"/>
  <c r="U289" i="12" s="1"/>
  <c r="R94" i="12"/>
  <c r="U94" i="12" s="1"/>
  <c r="R98" i="12"/>
  <c r="U98" i="12" s="1"/>
  <c r="T407" i="13"/>
  <c r="W407" i="13" s="1"/>
  <c r="R264" i="13"/>
  <c r="U264" i="13" s="1"/>
  <c r="R75" i="14"/>
  <c r="U75" i="14" s="1"/>
  <c r="R369" i="15"/>
  <c r="R369" i="16"/>
  <c r="R337" i="8"/>
  <c r="U337" i="8" s="1"/>
  <c r="R304" i="8"/>
  <c r="U304" i="8" s="1"/>
  <c r="R58" i="8"/>
  <c r="U58" i="8" s="1"/>
  <c r="T407" i="9"/>
  <c r="R106" i="9"/>
  <c r="U106" i="9" s="1"/>
  <c r="R227" i="11"/>
  <c r="U227" i="11" s="1"/>
  <c r="R65" i="11"/>
  <c r="U65" i="11" s="1"/>
  <c r="R63" i="11"/>
  <c r="U63" i="11" s="1"/>
  <c r="R61" i="11"/>
  <c r="U61" i="11" s="1"/>
  <c r="R59" i="11"/>
  <c r="U59" i="11" s="1"/>
  <c r="R57" i="11"/>
  <c r="U57" i="11" s="1"/>
  <c r="R55" i="11"/>
  <c r="U55" i="11" s="1"/>
  <c r="R53" i="11"/>
  <c r="U53" i="11" s="1"/>
  <c r="T421" i="12"/>
  <c r="W421" i="12" s="1"/>
  <c r="T419" i="12"/>
  <c r="W419" i="12" s="1"/>
  <c r="R302" i="12"/>
  <c r="U302" i="12" s="1"/>
  <c r="T30" i="12"/>
  <c r="W30" i="12" s="1"/>
  <c r="T380" i="13"/>
  <c r="R10" i="13"/>
  <c r="U10" i="13" s="1"/>
  <c r="R350" i="14"/>
  <c r="U350" i="14" s="1"/>
  <c r="T265" i="15"/>
  <c r="W265" i="15" s="1"/>
  <c r="R253" i="15"/>
  <c r="U253" i="15" s="1"/>
  <c r="R251" i="15"/>
  <c r="U251" i="15" s="1"/>
  <c r="R249" i="15"/>
  <c r="U249" i="15" s="1"/>
  <c r="R247" i="15"/>
  <c r="U247" i="15" s="1"/>
  <c r="R245" i="15"/>
  <c r="U245" i="15" s="1"/>
  <c r="T218" i="15"/>
  <c r="T55" i="15"/>
  <c r="W55" i="15" s="1"/>
  <c r="R39" i="15"/>
  <c r="U39" i="15" s="1"/>
  <c r="R37" i="15"/>
  <c r="U37" i="15" s="1"/>
  <c r="R35" i="15"/>
  <c r="U35" i="15" s="1"/>
  <c r="T8" i="15"/>
  <c r="W8" i="15" s="1"/>
  <c r="T353" i="16"/>
  <c r="W353" i="16" s="1"/>
  <c r="T351" i="16"/>
  <c r="W351" i="16" s="1"/>
  <c r="R344" i="16"/>
  <c r="R327" i="16"/>
  <c r="R159" i="8"/>
  <c r="U159" i="8" s="1"/>
  <c r="R157" i="8"/>
  <c r="U157" i="8" s="1"/>
  <c r="R62" i="8"/>
  <c r="U62" i="8" s="1"/>
  <c r="T50" i="8"/>
  <c r="W50" i="8" s="1"/>
  <c r="R272" i="9"/>
  <c r="U272" i="9" s="1"/>
  <c r="T128" i="9"/>
  <c r="W128" i="9" s="1"/>
  <c r="T126" i="9"/>
  <c r="W126" i="9" s="1"/>
  <c r="T124" i="9"/>
  <c r="W124" i="9" s="1"/>
  <c r="T122" i="9"/>
  <c r="W122" i="9" s="1"/>
  <c r="T44" i="13"/>
  <c r="W44" i="13" s="1"/>
  <c r="T42" i="13"/>
  <c r="W42" i="13" s="1"/>
  <c r="T40" i="13"/>
  <c r="W40" i="13" s="1"/>
  <c r="T38" i="13"/>
  <c r="W38" i="13" s="1"/>
  <c r="T36" i="13"/>
  <c r="W36" i="13" s="1"/>
  <c r="T34" i="13"/>
  <c r="W34" i="13" s="1"/>
  <c r="T284" i="14"/>
  <c r="W284" i="14" s="1"/>
  <c r="R266" i="14"/>
  <c r="U266" i="14" s="1"/>
  <c r="R262" i="14"/>
  <c r="U262" i="14" s="1"/>
  <c r="T359" i="16"/>
  <c r="W359" i="16" s="1"/>
  <c r="O343" i="16"/>
  <c r="T219" i="16"/>
  <c r="W219" i="16" s="1"/>
  <c r="R220" i="16"/>
  <c r="U220" i="16" s="1"/>
  <c r="R201" i="16"/>
  <c r="U201" i="16" s="1"/>
  <c r="R201" i="18"/>
  <c r="R115" i="18"/>
  <c r="U115" i="18" s="1"/>
  <c r="R120" i="21"/>
  <c r="U120" i="21" s="1"/>
  <c r="T92" i="21"/>
  <c r="W92" i="21" s="1"/>
  <c r="T365" i="22"/>
  <c r="T386" i="20"/>
  <c r="R281" i="20"/>
  <c r="R285" i="20"/>
  <c r="U285" i="20" s="1"/>
  <c r="R249" i="20"/>
  <c r="U249" i="20" s="1"/>
  <c r="R241" i="21"/>
  <c r="R259" i="21" s="1"/>
  <c r="R34" i="21"/>
  <c r="U34" i="21" s="1"/>
  <c r="T275" i="16"/>
  <c r="W275" i="16" s="1"/>
  <c r="T273" i="16"/>
  <c r="W273" i="16" s="1"/>
  <c r="T271" i="16"/>
  <c r="W271" i="16" s="1"/>
  <c r="T269" i="16"/>
  <c r="W269" i="16" s="1"/>
  <c r="T260" i="16"/>
  <c r="W260" i="16" s="1"/>
  <c r="R245" i="16"/>
  <c r="R85" i="16"/>
  <c r="U85" i="16" s="1"/>
  <c r="R77" i="16"/>
  <c r="U77" i="16" s="1"/>
  <c r="T92" i="18"/>
  <c r="T42" i="18"/>
  <c r="W42" i="18" s="1"/>
  <c r="O154" i="19"/>
  <c r="R113" i="19"/>
  <c r="T94" i="19"/>
  <c r="R72" i="19"/>
  <c r="T197" i="20"/>
  <c r="T217" i="20" s="1"/>
  <c r="R157" i="20"/>
  <c r="U157" i="20" s="1"/>
  <c r="R124" i="21"/>
  <c r="U124" i="21" s="1"/>
  <c r="R390" i="22"/>
  <c r="U390" i="22" s="1"/>
  <c r="R211" i="16"/>
  <c r="U211" i="16" s="1"/>
  <c r="R106" i="18"/>
  <c r="U106" i="18" s="1"/>
  <c r="R104" i="18"/>
  <c r="U104" i="18" s="1"/>
  <c r="R102" i="18"/>
  <c r="U102" i="18" s="1"/>
  <c r="R100" i="18"/>
  <c r="U100" i="18" s="1"/>
  <c r="R98" i="18"/>
  <c r="U98" i="18" s="1"/>
  <c r="T115" i="19"/>
  <c r="W115" i="19" s="1"/>
  <c r="R283" i="20"/>
  <c r="U283" i="20" s="1"/>
  <c r="R241" i="20"/>
  <c r="U241" i="20" s="1"/>
  <c r="R409" i="21"/>
  <c r="U409" i="21" s="1"/>
  <c r="R14" i="21"/>
  <c r="R394" i="22"/>
  <c r="U394" i="22" s="1"/>
  <c r="T323" i="22"/>
  <c r="T343" i="22" s="1"/>
  <c r="R248" i="22"/>
  <c r="U248" i="22" s="1"/>
  <c r="W92" i="18"/>
  <c r="U72" i="19"/>
  <c r="W365" i="22"/>
  <c r="U369" i="15"/>
  <c r="U245" i="16"/>
  <c r="U54" i="10"/>
  <c r="W94" i="19"/>
  <c r="U201" i="18"/>
  <c r="K245" i="96" l="1"/>
  <c r="W386" i="20"/>
  <c r="W406" i="20" s="1"/>
  <c r="T406" i="20"/>
  <c r="E11" i="105"/>
  <c r="K43" i="98" s="1"/>
  <c r="H9" i="105"/>
  <c r="K72" i="98" s="1"/>
  <c r="E8" i="105"/>
  <c r="K40" i="98" s="1"/>
  <c r="M6" i="105"/>
  <c r="M100" i="98" s="1"/>
  <c r="J12" i="105"/>
  <c r="M75" i="98" s="1"/>
  <c r="K9" i="105"/>
  <c r="K103" i="98" s="1"/>
  <c r="K7" i="105"/>
  <c r="K101" i="98" s="1"/>
  <c r="K13" i="105"/>
  <c r="K107" i="98" s="1"/>
  <c r="M29" i="105"/>
  <c r="M123" i="98" s="1"/>
  <c r="M25" i="105"/>
  <c r="M119" i="98" s="1"/>
  <c r="M21" i="105"/>
  <c r="M115" i="98" s="1"/>
  <c r="M17" i="105"/>
  <c r="M111" i="98" s="1"/>
  <c r="J14" i="105"/>
  <c r="M77" i="98" s="1"/>
  <c r="H10" i="105"/>
  <c r="K73" i="98" s="1"/>
  <c r="E9" i="105"/>
  <c r="K41" i="98" s="1"/>
  <c r="M7" i="105"/>
  <c r="M101" i="98" s="1"/>
  <c r="H6" i="105"/>
  <c r="K69" i="98" s="1"/>
  <c r="J11" i="105"/>
  <c r="G9" i="105"/>
  <c r="M41" i="98" s="1"/>
  <c r="G7" i="105"/>
  <c r="M39" i="98" s="1"/>
  <c r="K15" i="105"/>
  <c r="K109" i="98" s="1"/>
  <c r="J29" i="105"/>
  <c r="M92" i="98" s="1"/>
  <c r="J25" i="105"/>
  <c r="M88" i="98" s="1"/>
  <c r="J21" i="105"/>
  <c r="M84" i="98" s="1"/>
  <c r="J17" i="105"/>
  <c r="M80" i="98" s="1"/>
  <c r="T218" i="18"/>
  <c r="R113" i="18"/>
  <c r="U113" i="18" s="1"/>
  <c r="U133" i="18" s="1"/>
  <c r="O29" i="103"/>
  <c r="T322" i="19"/>
  <c r="U196" i="22"/>
  <c r="W427" i="21"/>
  <c r="U70" i="19"/>
  <c r="W196" i="14"/>
  <c r="U154" i="22"/>
  <c r="T91" i="16"/>
  <c r="T175" i="14"/>
  <c r="T366" i="12"/>
  <c r="W366" i="12" s="1"/>
  <c r="R28" i="19"/>
  <c r="T406" i="19"/>
  <c r="R259" i="17"/>
  <c r="T175" i="19"/>
  <c r="R196" i="17"/>
  <c r="R385" i="17"/>
  <c r="W70" i="16"/>
  <c r="M35" i="96"/>
  <c r="W323" i="21"/>
  <c r="T343" i="17"/>
  <c r="W385" i="19"/>
  <c r="W154" i="17"/>
  <c r="W196" i="17"/>
  <c r="W364" i="17"/>
  <c r="U175" i="17"/>
  <c r="U112" i="17"/>
  <c r="U238" i="17"/>
  <c r="U280" i="17"/>
  <c r="U406" i="17"/>
  <c r="R72" i="8"/>
  <c r="U72" i="8" s="1"/>
  <c r="T413" i="9"/>
  <c r="W413" i="9" s="1"/>
  <c r="R338" i="9"/>
  <c r="U338" i="9" s="1"/>
  <c r="T316" i="9"/>
  <c r="W316" i="9" s="1"/>
  <c r="R296" i="9"/>
  <c r="U296" i="9" s="1"/>
  <c r="T253" i="9"/>
  <c r="W253" i="9" s="1"/>
  <c r="R231" i="9"/>
  <c r="U231" i="9" s="1"/>
  <c r="R210" i="9"/>
  <c r="U210" i="9" s="1"/>
  <c r="T119" i="9"/>
  <c r="W119" i="9" s="1"/>
  <c r="T98" i="9"/>
  <c r="W98" i="9" s="1"/>
  <c r="R76" i="9"/>
  <c r="U76" i="9" s="1"/>
  <c r="T58" i="9"/>
  <c r="W58" i="9" s="1"/>
  <c r="R32" i="9"/>
  <c r="U32" i="9" s="1"/>
  <c r="R359" i="10"/>
  <c r="U359" i="10" s="1"/>
  <c r="R338" i="10"/>
  <c r="U338" i="10" s="1"/>
  <c r="R282" i="10"/>
  <c r="U282" i="10" s="1"/>
  <c r="R227" i="10"/>
  <c r="U227" i="10" s="1"/>
  <c r="T379" i="15"/>
  <c r="W379" i="15" s="1"/>
  <c r="R357" i="15"/>
  <c r="U357" i="15" s="1"/>
  <c r="T335" i="15"/>
  <c r="W335" i="15" s="1"/>
  <c r="R317" i="15"/>
  <c r="U317" i="15" s="1"/>
  <c r="T295" i="15"/>
  <c r="W295" i="15" s="1"/>
  <c r="R273" i="15"/>
  <c r="U273" i="15" s="1"/>
  <c r="T251" i="15"/>
  <c r="W251" i="15" s="1"/>
  <c r="R233" i="15"/>
  <c r="U233" i="15" s="1"/>
  <c r="T211" i="15"/>
  <c r="W211" i="15" s="1"/>
  <c r="R189" i="15"/>
  <c r="U189" i="15" s="1"/>
  <c r="T167" i="15"/>
  <c r="W167" i="15" s="1"/>
  <c r="R149" i="15"/>
  <c r="U149" i="15" s="1"/>
  <c r="T127" i="15"/>
  <c r="W127" i="15" s="1"/>
  <c r="R105" i="15"/>
  <c r="U105" i="15" s="1"/>
  <c r="T83" i="15"/>
  <c r="W83" i="15" s="1"/>
  <c r="R65" i="15"/>
  <c r="U65" i="15" s="1"/>
  <c r="T43" i="15"/>
  <c r="W43" i="15" s="1"/>
  <c r="R21" i="15"/>
  <c r="U21" i="15" s="1"/>
  <c r="T419" i="16"/>
  <c r="W419" i="16" s="1"/>
  <c r="R401" i="16"/>
  <c r="U401" i="16" s="1"/>
  <c r="T379" i="16"/>
  <c r="W379" i="16" s="1"/>
  <c r="R357" i="16"/>
  <c r="U357" i="16" s="1"/>
  <c r="R336" i="16"/>
  <c r="U336" i="16" s="1"/>
  <c r="T314" i="16"/>
  <c r="W314" i="16" s="1"/>
  <c r="R296" i="16"/>
  <c r="U296" i="16" s="1"/>
  <c r="T274" i="16"/>
  <c r="W274" i="16" s="1"/>
  <c r="T253" i="16"/>
  <c r="W253" i="16" s="1"/>
  <c r="R231" i="16"/>
  <c r="U231" i="16" s="1"/>
  <c r="T209" i="16"/>
  <c r="W209" i="16" s="1"/>
  <c r="R191" i="16"/>
  <c r="U191" i="16" s="1"/>
  <c r="T169" i="16"/>
  <c r="W169" i="16" s="1"/>
  <c r="R147" i="16"/>
  <c r="U147" i="16" s="1"/>
  <c r="T217" i="19"/>
  <c r="R280" i="18"/>
  <c r="R196" i="18"/>
  <c r="T364" i="21"/>
  <c r="R322" i="21"/>
  <c r="T301" i="20"/>
  <c r="T322" i="17"/>
  <c r="W28" i="16"/>
  <c r="R114" i="10"/>
  <c r="U114" i="10" s="1"/>
  <c r="T100" i="10"/>
  <c r="W100" i="10" s="1"/>
  <c r="R76" i="10"/>
  <c r="R13" i="10"/>
  <c r="U13" i="10" s="1"/>
  <c r="T72" i="17"/>
  <c r="R367" i="18"/>
  <c r="U367" i="18" s="1"/>
  <c r="T40" i="11"/>
  <c r="W40" i="11" s="1"/>
  <c r="R37" i="11"/>
  <c r="U37" i="11" s="1"/>
  <c r="T20" i="11"/>
  <c r="W20" i="11" s="1"/>
  <c r="R18" i="11"/>
  <c r="U18" i="11" s="1"/>
  <c r="T22" i="11"/>
  <c r="W22" i="11" s="1"/>
  <c r="T8" i="11"/>
  <c r="W8" i="11" s="1"/>
  <c r="R16" i="11"/>
  <c r="U16" i="11" s="1"/>
  <c r="T12" i="11"/>
  <c r="W12" i="11" s="1"/>
  <c r="T83" i="14"/>
  <c r="W83" i="14" s="1"/>
  <c r="T79" i="14"/>
  <c r="W79" i="14" s="1"/>
  <c r="T75" i="14"/>
  <c r="W75" i="14" s="1"/>
  <c r="R84" i="14"/>
  <c r="U84" i="14" s="1"/>
  <c r="R80" i="14"/>
  <c r="U80" i="14" s="1"/>
  <c r="R76" i="14"/>
  <c r="U76" i="14" s="1"/>
  <c r="R72" i="14"/>
  <c r="U72" i="14" s="1"/>
  <c r="T85" i="14"/>
  <c r="W85" i="14" s="1"/>
  <c r="T81" i="14"/>
  <c r="W81" i="14" s="1"/>
  <c r="T77" i="14"/>
  <c r="W77" i="14" s="1"/>
  <c r="T73" i="14"/>
  <c r="W73" i="14" s="1"/>
  <c r="R65" i="14"/>
  <c r="U65" i="14" s="1"/>
  <c r="R61" i="14"/>
  <c r="U61" i="14" s="1"/>
  <c r="R57" i="14"/>
  <c r="U57" i="14" s="1"/>
  <c r="R53" i="14"/>
  <c r="U53" i="14" s="1"/>
  <c r="T62" i="14"/>
  <c r="W62" i="14" s="1"/>
  <c r="T58" i="14"/>
  <c r="W58" i="14" s="1"/>
  <c r="T54" i="14"/>
  <c r="W54" i="14" s="1"/>
  <c r="R63" i="14"/>
  <c r="U63" i="14" s="1"/>
  <c r="R59" i="14"/>
  <c r="U59" i="14" s="1"/>
  <c r="R55" i="14"/>
  <c r="U55" i="14" s="1"/>
  <c r="R51" i="14"/>
  <c r="U51" i="14" s="1"/>
  <c r="T43" i="14"/>
  <c r="W43" i="14" s="1"/>
  <c r="T39" i="14"/>
  <c r="W39" i="14" s="1"/>
  <c r="T35" i="14"/>
  <c r="W35" i="14" s="1"/>
  <c r="T31" i="14"/>
  <c r="W31" i="14" s="1"/>
  <c r="R44" i="14"/>
  <c r="U44" i="14" s="1"/>
  <c r="R40" i="14"/>
  <c r="U40" i="14" s="1"/>
  <c r="R36" i="14"/>
  <c r="U36" i="14" s="1"/>
  <c r="R32" i="14"/>
  <c r="U32" i="14" s="1"/>
  <c r="T41" i="14"/>
  <c r="W41" i="14" s="1"/>
  <c r="T37" i="14"/>
  <c r="W37" i="14" s="1"/>
  <c r="T33" i="14"/>
  <c r="W33" i="14" s="1"/>
  <c r="R21" i="14"/>
  <c r="U21" i="14" s="1"/>
  <c r="R17" i="14"/>
  <c r="U17" i="14" s="1"/>
  <c r="R13" i="14"/>
  <c r="U13" i="14" s="1"/>
  <c r="R9" i="14"/>
  <c r="U9" i="14" s="1"/>
  <c r="T22" i="14"/>
  <c r="W22" i="14" s="1"/>
  <c r="T18" i="14"/>
  <c r="W18" i="14" s="1"/>
  <c r="T14" i="14"/>
  <c r="W14" i="14" s="1"/>
  <c r="T10" i="14"/>
  <c r="W10" i="14" s="1"/>
  <c r="R23" i="14"/>
  <c r="U23" i="14" s="1"/>
  <c r="R19" i="14"/>
  <c r="U19" i="14" s="1"/>
  <c r="R15" i="14"/>
  <c r="U15" i="14" s="1"/>
  <c r="R11" i="14"/>
  <c r="U11" i="14" s="1"/>
  <c r="T419" i="15"/>
  <c r="W419" i="15" s="1"/>
  <c r="T415" i="15"/>
  <c r="W415" i="15" s="1"/>
  <c r="T411" i="15"/>
  <c r="W411" i="15" s="1"/>
  <c r="R420" i="15"/>
  <c r="U420" i="15" s="1"/>
  <c r="R416" i="15"/>
  <c r="U416" i="15" s="1"/>
  <c r="R412" i="15"/>
  <c r="U412" i="15" s="1"/>
  <c r="R408" i="15"/>
  <c r="U408" i="15" s="1"/>
  <c r="T421" i="15"/>
  <c r="W421" i="15" s="1"/>
  <c r="T417" i="15"/>
  <c r="W417" i="15" s="1"/>
  <c r="T413" i="15"/>
  <c r="W413" i="15" s="1"/>
  <c r="T409" i="15"/>
  <c r="W409" i="15" s="1"/>
  <c r="R401" i="15"/>
  <c r="U401" i="15" s="1"/>
  <c r="R397" i="15"/>
  <c r="U397" i="15" s="1"/>
  <c r="R393" i="15"/>
  <c r="U393" i="15" s="1"/>
  <c r="R389" i="15"/>
  <c r="U389" i="15" s="1"/>
  <c r="T398" i="15"/>
  <c r="W398" i="15" s="1"/>
  <c r="T394" i="15"/>
  <c r="W394" i="15" s="1"/>
  <c r="T390" i="15"/>
  <c r="R399" i="15"/>
  <c r="U399" i="15" s="1"/>
  <c r="R395" i="15"/>
  <c r="U395" i="15" s="1"/>
  <c r="R391" i="15"/>
  <c r="U391" i="15" s="1"/>
  <c r="R387" i="15"/>
  <c r="U387" i="15" s="1"/>
  <c r="W91" i="20"/>
  <c r="W301" i="18"/>
  <c r="R28" i="18"/>
  <c r="O18" i="103"/>
  <c r="U241" i="21"/>
  <c r="R133" i="18"/>
  <c r="T112" i="21"/>
  <c r="T385" i="22"/>
  <c r="T70" i="22"/>
  <c r="O10" i="101"/>
  <c r="S246" i="96"/>
  <c r="U28" i="19"/>
  <c r="T259" i="14"/>
  <c r="T133" i="16"/>
  <c r="W322" i="19"/>
  <c r="W154" i="19"/>
  <c r="T301" i="21"/>
  <c r="T112" i="14"/>
  <c r="T217" i="12"/>
  <c r="W343" i="18"/>
  <c r="T259" i="18"/>
  <c r="W406" i="19"/>
  <c r="T175" i="20"/>
  <c r="T49" i="20"/>
  <c r="T238" i="14"/>
  <c r="T343" i="18"/>
  <c r="T301" i="13"/>
  <c r="R91" i="17"/>
  <c r="T259" i="19"/>
  <c r="T385" i="19"/>
  <c r="R364" i="18"/>
  <c r="W70" i="20"/>
  <c r="R385" i="19"/>
  <c r="T91" i="22"/>
  <c r="T259" i="22"/>
  <c r="T70" i="20"/>
  <c r="T196" i="17"/>
  <c r="R280" i="17"/>
  <c r="R217" i="17"/>
  <c r="R28" i="16"/>
  <c r="T238" i="17"/>
  <c r="W322" i="17"/>
  <c r="T104" i="10"/>
  <c r="W104" i="10" s="1"/>
  <c r="O49" i="11"/>
  <c r="O427" i="12"/>
  <c r="U238" i="20"/>
  <c r="R141" i="9"/>
  <c r="U141" i="9" s="1"/>
  <c r="R145" i="9"/>
  <c r="U145" i="9" s="1"/>
  <c r="R11" i="9"/>
  <c r="U11" i="9" s="1"/>
  <c r="R15" i="9"/>
  <c r="U15" i="9" s="1"/>
  <c r="R387" i="10"/>
  <c r="U387" i="10" s="1"/>
  <c r="R391" i="10"/>
  <c r="U391" i="10" s="1"/>
  <c r="T304" i="10"/>
  <c r="W304" i="10" s="1"/>
  <c r="T316" i="10"/>
  <c r="W316" i="10" s="1"/>
  <c r="R275" i="10"/>
  <c r="U275" i="10" s="1"/>
  <c r="R271" i="10"/>
  <c r="U271" i="10" s="1"/>
  <c r="R244" i="10"/>
  <c r="U244" i="10" s="1"/>
  <c r="R240" i="10"/>
  <c r="U240" i="10" s="1"/>
  <c r="R189" i="10"/>
  <c r="U189" i="10" s="1"/>
  <c r="T191" i="10"/>
  <c r="W191" i="10" s="1"/>
  <c r="R160" i="10"/>
  <c r="U160" i="10" s="1"/>
  <c r="R156" i="10"/>
  <c r="U156" i="10" s="1"/>
  <c r="T135" i="10"/>
  <c r="W135" i="10" s="1"/>
  <c r="R143" i="10"/>
  <c r="U143" i="10" s="1"/>
  <c r="T143" i="10"/>
  <c r="W143" i="10" s="1"/>
  <c r="T133" i="14"/>
  <c r="T133" i="21"/>
  <c r="W49" i="20"/>
  <c r="W280" i="19"/>
  <c r="T91" i="20"/>
  <c r="R91" i="21"/>
  <c r="T196" i="21"/>
  <c r="R154" i="18"/>
  <c r="W133" i="22"/>
  <c r="T385" i="18"/>
  <c r="W154" i="14"/>
  <c r="T301" i="18"/>
  <c r="W238" i="19"/>
  <c r="T427" i="18"/>
  <c r="R427" i="17"/>
  <c r="T112" i="20"/>
  <c r="T406" i="21"/>
  <c r="U71" i="12"/>
  <c r="R112" i="16"/>
  <c r="R406" i="18"/>
  <c r="T301" i="19"/>
  <c r="R154" i="22"/>
  <c r="U365" i="14"/>
  <c r="R28" i="17"/>
  <c r="T280" i="21"/>
  <c r="T364" i="22"/>
  <c r="U385" i="20"/>
  <c r="T217" i="14"/>
  <c r="R28" i="22"/>
  <c r="R112" i="17"/>
  <c r="R49" i="16"/>
  <c r="R406" i="17"/>
  <c r="R154" i="17"/>
  <c r="T58" i="10"/>
  <c r="W58" i="10" s="1"/>
  <c r="R59" i="10"/>
  <c r="U59" i="10" s="1"/>
  <c r="R51" i="10"/>
  <c r="U51" i="10" s="1"/>
  <c r="R63" i="10"/>
  <c r="U63" i="10" s="1"/>
  <c r="T52" i="10"/>
  <c r="W52" i="10" s="1"/>
  <c r="R42" i="10"/>
  <c r="U42" i="10" s="1"/>
  <c r="R30" i="10"/>
  <c r="U30" i="10" s="1"/>
  <c r="R34" i="10"/>
  <c r="U34" i="10" s="1"/>
  <c r="T37" i="10"/>
  <c r="W37" i="10" s="1"/>
  <c r="T14" i="10"/>
  <c r="W14" i="10" s="1"/>
  <c r="R17" i="10"/>
  <c r="U17" i="10" s="1"/>
  <c r="T20" i="10"/>
  <c r="R9" i="10"/>
  <c r="U9" i="10" s="1"/>
  <c r="T419" i="11"/>
  <c r="W419" i="11" s="1"/>
  <c r="R408" i="11"/>
  <c r="U408" i="11" s="1"/>
  <c r="R420" i="11"/>
  <c r="U420" i="11" s="1"/>
  <c r="R412" i="11"/>
  <c r="U412" i="11" s="1"/>
  <c r="T413" i="11"/>
  <c r="W413" i="11" s="1"/>
  <c r="T392" i="11"/>
  <c r="W392" i="11" s="1"/>
  <c r="T394" i="11"/>
  <c r="W394" i="11" s="1"/>
  <c r="T398" i="11"/>
  <c r="W398" i="11" s="1"/>
  <c r="R387" i="11"/>
  <c r="U387" i="11" s="1"/>
  <c r="T377" i="11"/>
  <c r="W377" i="11" s="1"/>
  <c r="R366" i="11"/>
  <c r="U366" i="11" s="1"/>
  <c r="R378" i="11"/>
  <c r="U378" i="11" s="1"/>
  <c r="T369" i="11"/>
  <c r="W369" i="11" s="1"/>
  <c r="R370" i="11"/>
  <c r="U370" i="11" s="1"/>
  <c r="R353" i="11"/>
  <c r="U353" i="11" s="1"/>
  <c r="T346" i="11"/>
  <c r="W346" i="11" s="1"/>
  <c r="T354" i="11"/>
  <c r="W354" i="11" s="1"/>
  <c r="T348" i="11"/>
  <c r="W348" i="11" s="1"/>
  <c r="R357" i="11"/>
  <c r="U357" i="11" s="1"/>
  <c r="R349" i="11"/>
  <c r="U349" i="11" s="1"/>
  <c r="R332" i="11"/>
  <c r="U332" i="11" s="1"/>
  <c r="T325" i="11"/>
  <c r="W325" i="11" s="1"/>
  <c r="T335" i="11"/>
  <c r="W335" i="11" s="1"/>
  <c r="T327" i="11"/>
  <c r="W327" i="11" s="1"/>
  <c r="R336" i="11"/>
  <c r="U336" i="11" s="1"/>
  <c r="T329" i="11"/>
  <c r="W329" i="11" s="1"/>
  <c r="R313" i="11"/>
  <c r="U313" i="11" s="1"/>
  <c r="R305" i="11"/>
  <c r="U305" i="11" s="1"/>
  <c r="T314" i="11"/>
  <c r="W314" i="11" s="1"/>
  <c r="R307" i="11"/>
  <c r="U307" i="11" s="1"/>
  <c r="R315" i="11"/>
  <c r="U315" i="11" s="1"/>
  <c r="R309" i="11"/>
  <c r="U309" i="11" s="1"/>
  <c r="R292" i="11"/>
  <c r="U292" i="11" s="1"/>
  <c r="T285" i="11"/>
  <c r="W285" i="11" s="1"/>
  <c r="T293" i="11"/>
  <c r="W293" i="11" s="1"/>
  <c r="R286" i="11"/>
  <c r="U286" i="11" s="1"/>
  <c r="R296" i="11"/>
  <c r="U296" i="11" s="1"/>
  <c r="R288" i="11"/>
  <c r="U288" i="11" s="1"/>
  <c r="T272" i="11"/>
  <c r="W272" i="11" s="1"/>
  <c r="R267" i="11"/>
  <c r="U267" i="11" s="1"/>
  <c r="T262" i="11"/>
  <c r="W262" i="11" s="1"/>
  <c r="T274" i="11"/>
  <c r="W274" i="11" s="1"/>
  <c r="T268" i="11"/>
  <c r="W268" i="11" s="1"/>
  <c r="R263" i="11"/>
  <c r="U263" i="11" s="1"/>
  <c r="R275" i="11"/>
  <c r="U275" i="11" s="1"/>
  <c r="T270" i="11"/>
  <c r="W270" i="11" s="1"/>
  <c r="T264" i="11"/>
  <c r="W264" i="11" s="1"/>
  <c r="R239" i="11"/>
  <c r="U239" i="11" s="1"/>
  <c r="T252" i="11"/>
  <c r="W252" i="11" s="1"/>
  <c r="T248" i="11"/>
  <c r="W248" i="11" s="1"/>
  <c r="R247" i="11"/>
  <c r="U247" i="11" s="1"/>
  <c r="T226" i="11"/>
  <c r="W226" i="11" s="1"/>
  <c r="T230" i="11"/>
  <c r="W230" i="11" s="1"/>
  <c r="T218" i="11"/>
  <c r="W218" i="11" s="1"/>
  <c r="T227" i="11"/>
  <c r="W227" i="11" s="1"/>
  <c r="T232" i="11"/>
  <c r="W232" i="11" s="1"/>
  <c r="T222" i="11"/>
  <c r="W222" i="11" s="1"/>
  <c r="T212" i="11"/>
  <c r="W212" i="11" s="1"/>
  <c r="R209" i="11"/>
  <c r="U209" i="11" s="1"/>
  <c r="T188" i="11"/>
  <c r="W188" i="11" s="1"/>
  <c r="T177" i="11"/>
  <c r="W177" i="11" s="1"/>
  <c r="T178" i="11"/>
  <c r="W178" i="11" s="1"/>
  <c r="T162" i="11"/>
  <c r="T168" i="11"/>
  <c r="W168" i="11" s="1"/>
  <c r="T135" i="11"/>
  <c r="W135" i="11" s="1"/>
  <c r="T146" i="11"/>
  <c r="W146" i="11" s="1"/>
  <c r="T148" i="11"/>
  <c r="W148" i="11" s="1"/>
  <c r="R123" i="11"/>
  <c r="U123" i="11" s="1"/>
  <c r="T118" i="11"/>
  <c r="W118" i="11" s="1"/>
  <c r="T94" i="11"/>
  <c r="W94" i="11" s="1"/>
  <c r="T107" i="11"/>
  <c r="W107" i="11" s="1"/>
  <c r="T106" i="11"/>
  <c r="W106" i="11" s="1"/>
  <c r="T93" i="11"/>
  <c r="W93" i="11" s="1"/>
  <c r="R83" i="11"/>
  <c r="U83" i="11" s="1"/>
  <c r="T80" i="11"/>
  <c r="W80" i="11" s="1"/>
  <c r="T76" i="11"/>
  <c r="W76" i="11" s="1"/>
  <c r="T53" i="11"/>
  <c r="W53" i="11" s="1"/>
  <c r="T56" i="11"/>
  <c r="W56" i="11" s="1"/>
  <c r="T58" i="11"/>
  <c r="W58" i="11" s="1"/>
  <c r="T62" i="11"/>
  <c r="W62" i="11" s="1"/>
  <c r="W364" i="19"/>
  <c r="O6" i="101"/>
  <c r="W385" i="22"/>
  <c r="W112" i="18"/>
  <c r="T112" i="18"/>
  <c r="W112" i="21"/>
  <c r="R91" i="18"/>
  <c r="T175" i="21"/>
  <c r="R49" i="19"/>
  <c r="T49" i="21"/>
  <c r="T385" i="21"/>
  <c r="W133" i="20"/>
  <c r="U49" i="19"/>
  <c r="R217" i="21"/>
  <c r="R70" i="17"/>
  <c r="U29" i="13"/>
  <c r="T217" i="18"/>
  <c r="T238" i="19"/>
  <c r="W175" i="20"/>
  <c r="W364" i="20"/>
  <c r="T196" i="19"/>
  <c r="R49" i="17"/>
  <c r="T28" i="20"/>
  <c r="R280" i="21"/>
  <c r="W197" i="14"/>
  <c r="W217" i="14" s="1"/>
  <c r="R238" i="18"/>
  <c r="R238" i="20"/>
  <c r="W344" i="21"/>
  <c r="W364" i="21" s="1"/>
  <c r="T133" i="22"/>
  <c r="T280" i="17"/>
  <c r="R343" i="17"/>
  <c r="R133" i="17"/>
  <c r="R238" i="17"/>
  <c r="T316" i="8"/>
  <c r="W316" i="8" s="1"/>
  <c r="U76" i="10"/>
  <c r="U303" i="11"/>
  <c r="O133" i="11"/>
  <c r="T60" i="11"/>
  <c r="W60" i="11" s="1"/>
  <c r="T52" i="11"/>
  <c r="W52" i="11" s="1"/>
  <c r="R10" i="11"/>
  <c r="U10" i="11" s="1"/>
  <c r="T16" i="11"/>
  <c r="W16" i="11" s="1"/>
  <c r="R407" i="12"/>
  <c r="U407" i="12" s="1"/>
  <c r="R417" i="12"/>
  <c r="U417" i="12" s="1"/>
  <c r="T243" i="16"/>
  <c r="W243" i="16" s="1"/>
  <c r="T247" i="16"/>
  <c r="W247" i="16" s="1"/>
  <c r="T251" i="16"/>
  <c r="W251" i="16" s="1"/>
  <c r="R261" i="16"/>
  <c r="U261" i="16" s="1"/>
  <c r="R265" i="16"/>
  <c r="U265" i="16" s="1"/>
  <c r="T268" i="16"/>
  <c r="W268" i="16" s="1"/>
  <c r="T272" i="16"/>
  <c r="W272" i="16" s="1"/>
  <c r="R282" i="16"/>
  <c r="U282" i="16" s="1"/>
  <c r="R286" i="16"/>
  <c r="U286" i="16" s="1"/>
  <c r="R290" i="16"/>
  <c r="U290" i="16" s="1"/>
  <c r="R294" i="16"/>
  <c r="U294" i="16" s="1"/>
  <c r="T304" i="16"/>
  <c r="W304" i="16" s="1"/>
  <c r="T308" i="16"/>
  <c r="W308" i="16" s="1"/>
  <c r="T312" i="16"/>
  <c r="W312" i="16" s="1"/>
  <c r="T316" i="16"/>
  <c r="W316" i="16" s="1"/>
  <c r="R326" i="16"/>
  <c r="U326" i="16" s="1"/>
  <c r="R330" i="16"/>
  <c r="U330" i="16" s="1"/>
  <c r="R334" i="16"/>
  <c r="U334" i="16" s="1"/>
  <c r="R338" i="16"/>
  <c r="U338" i="16" s="1"/>
  <c r="T348" i="16"/>
  <c r="W348" i="16" s="1"/>
  <c r="R351" i="16"/>
  <c r="U351" i="16" s="1"/>
  <c r="R355" i="16"/>
  <c r="U355" i="16" s="1"/>
  <c r="R359" i="16"/>
  <c r="U359" i="16" s="1"/>
  <c r="T369" i="16"/>
  <c r="W369" i="16" s="1"/>
  <c r="T373" i="16"/>
  <c r="W373" i="16" s="1"/>
  <c r="T377" i="16"/>
  <c r="W377" i="16" s="1"/>
  <c r="R387" i="16"/>
  <c r="U387" i="16" s="1"/>
  <c r="R391" i="16"/>
  <c r="U391" i="16" s="1"/>
  <c r="R395" i="16"/>
  <c r="U395" i="16" s="1"/>
  <c r="R399" i="16"/>
  <c r="U399" i="16" s="1"/>
  <c r="T409" i="16"/>
  <c r="W409" i="16" s="1"/>
  <c r="T413" i="16"/>
  <c r="W413" i="16" s="1"/>
  <c r="T417" i="16"/>
  <c r="W417" i="16" s="1"/>
  <c r="T421" i="16"/>
  <c r="W421" i="16" s="1"/>
  <c r="R11" i="15"/>
  <c r="U11" i="15" s="1"/>
  <c r="R15" i="15"/>
  <c r="U15" i="15" s="1"/>
  <c r="R19" i="15"/>
  <c r="U19" i="15" s="1"/>
  <c r="R23" i="15"/>
  <c r="U23" i="15" s="1"/>
  <c r="T33" i="15"/>
  <c r="W33" i="15" s="1"/>
  <c r="T37" i="15"/>
  <c r="W37" i="15" s="1"/>
  <c r="T41" i="15"/>
  <c r="W41" i="15" s="1"/>
  <c r="R51" i="15"/>
  <c r="U51" i="15" s="1"/>
  <c r="R55" i="15"/>
  <c r="U55" i="15" s="1"/>
  <c r="R59" i="15"/>
  <c r="U59" i="15" s="1"/>
  <c r="R63" i="15"/>
  <c r="U63" i="15" s="1"/>
  <c r="T73" i="15"/>
  <c r="W73" i="15" s="1"/>
  <c r="T77" i="15"/>
  <c r="W77" i="15" s="1"/>
  <c r="T81" i="15"/>
  <c r="W81" i="15" s="1"/>
  <c r="T85" i="15"/>
  <c r="W85" i="15" s="1"/>
  <c r="R95" i="15"/>
  <c r="U95" i="15" s="1"/>
  <c r="R99" i="15"/>
  <c r="U99" i="15" s="1"/>
  <c r="R103" i="15"/>
  <c r="U103" i="15" s="1"/>
  <c r="R107" i="15"/>
  <c r="U107" i="15" s="1"/>
  <c r="T117" i="15"/>
  <c r="W117" i="15" s="1"/>
  <c r="T121" i="15"/>
  <c r="W121" i="15" s="1"/>
  <c r="T125" i="15"/>
  <c r="W125" i="15" s="1"/>
  <c r="R135" i="15"/>
  <c r="U135" i="15" s="1"/>
  <c r="R139" i="15"/>
  <c r="U139" i="15" s="1"/>
  <c r="R143" i="15"/>
  <c r="U143" i="15" s="1"/>
  <c r="R147" i="15"/>
  <c r="U147" i="15" s="1"/>
  <c r="T157" i="15"/>
  <c r="W157" i="15" s="1"/>
  <c r="T161" i="15"/>
  <c r="W161" i="15" s="1"/>
  <c r="T165" i="15"/>
  <c r="W165" i="15" s="1"/>
  <c r="T169" i="15"/>
  <c r="W169" i="15" s="1"/>
  <c r="R179" i="15"/>
  <c r="U179" i="15" s="1"/>
  <c r="R183" i="15"/>
  <c r="U183" i="15" s="1"/>
  <c r="R187" i="15"/>
  <c r="U187" i="15" s="1"/>
  <c r="R191" i="15"/>
  <c r="U191" i="15" s="1"/>
  <c r="T201" i="15"/>
  <c r="W201" i="15" s="1"/>
  <c r="T205" i="15"/>
  <c r="W205" i="15" s="1"/>
  <c r="T209" i="15"/>
  <c r="W209" i="15" s="1"/>
  <c r="R219" i="15"/>
  <c r="U219" i="15" s="1"/>
  <c r="R223" i="15"/>
  <c r="U223" i="15" s="1"/>
  <c r="R227" i="15"/>
  <c r="U227" i="15" s="1"/>
  <c r="R231" i="15"/>
  <c r="U231" i="15" s="1"/>
  <c r="T241" i="15"/>
  <c r="W241" i="15" s="1"/>
  <c r="T245" i="15"/>
  <c r="W245" i="15" s="1"/>
  <c r="T249" i="15"/>
  <c r="W249" i="15" s="1"/>
  <c r="T253" i="15"/>
  <c r="W253" i="15" s="1"/>
  <c r="R263" i="15"/>
  <c r="U263" i="15" s="1"/>
  <c r="R267" i="15"/>
  <c r="U267" i="15" s="1"/>
  <c r="R271" i="15"/>
  <c r="U271" i="15" s="1"/>
  <c r="R275" i="15"/>
  <c r="U275" i="15" s="1"/>
  <c r="T285" i="15"/>
  <c r="W285" i="15" s="1"/>
  <c r="T289" i="15"/>
  <c r="W289" i="15" s="1"/>
  <c r="T293" i="15"/>
  <c r="W293" i="15" s="1"/>
  <c r="R303" i="15"/>
  <c r="R307" i="15"/>
  <c r="U307" i="15" s="1"/>
  <c r="R311" i="15"/>
  <c r="U311" i="15" s="1"/>
  <c r="R315" i="15"/>
  <c r="U315" i="15" s="1"/>
  <c r="T325" i="15"/>
  <c r="W325" i="15" s="1"/>
  <c r="T329" i="15"/>
  <c r="W329" i="15" s="1"/>
  <c r="T333" i="15"/>
  <c r="W333" i="15" s="1"/>
  <c r="T337" i="15"/>
  <c r="W337" i="15" s="1"/>
  <c r="R347" i="15"/>
  <c r="U347" i="15" s="1"/>
  <c r="R351" i="15"/>
  <c r="U351" i="15" s="1"/>
  <c r="R355" i="15"/>
  <c r="U355" i="15" s="1"/>
  <c r="R359" i="15"/>
  <c r="U359" i="15" s="1"/>
  <c r="T369" i="15"/>
  <c r="W369" i="15" s="1"/>
  <c r="T373" i="15"/>
  <c r="W373" i="15" s="1"/>
  <c r="T377" i="15"/>
  <c r="W377" i="15" s="1"/>
  <c r="W416" i="12"/>
  <c r="T100" i="8"/>
  <c r="W100" i="8" s="1"/>
  <c r="O154" i="11"/>
  <c r="T100" i="11"/>
  <c r="W100" i="11" s="1"/>
  <c r="T30" i="11"/>
  <c r="W30" i="11" s="1"/>
  <c r="R390" i="12"/>
  <c r="U390" i="12" s="1"/>
  <c r="T348" i="9"/>
  <c r="W348" i="9" s="1"/>
  <c r="R359" i="9"/>
  <c r="R263" i="9"/>
  <c r="U263" i="9" s="1"/>
  <c r="T274" i="9"/>
  <c r="W274" i="9" s="1"/>
  <c r="R177" i="9"/>
  <c r="U177" i="9" s="1"/>
  <c r="T188" i="9"/>
  <c r="W188" i="9" s="1"/>
  <c r="T127" i="9"/>
  <c r="W127" i="9" s="1"/>
  <c r="T123" i="9"/>
  <c r="W123" i="9" s="1"/>
  <c r="R84" i="9"/>
  <c r="U84" i="9" s="1"/>
  <c r="R80" i="9"/>
  <c r="U80" i="9" s="1"/>
  <c r="R40" i="9"/>
  <c r="U40" i="9" s="1"/>
  <c r="R36" i="9"/>
  <c r="U36" i="9" s="1"/>
  <c r="T417" i="10"/>
  <c r="W417" i="10" s="1"/>
  <c r="T413" i="10"/>
  <c r="W413" i="10" s="1"/>
  <c r="T373" i="10"/>
  <c r="W373" i="10" s="1"/>
  <c r="T369" i="10"/>
  <c r="W369" i="10" s="1"/>
  <c r="R330" i="10"/>
  <c r="U330" i="10" s="1"/>
  <c r="R326" i="10"/>
  <c r="U326" i="10" s="1"/>
  <c r="T293" i="10"/>
  <c r="W293" i="10" s="1"/>
  <c r="T285" i="10"/>
  <c r="W285" i="10" s="1"/>
  <c r="R267" i="10"/>
  <c r="U267" i="10" s="1"/>
  <c r="T260" i="10"/>
  <c r="W260" i="10" s="1"/>
  <c r="T224" i="10"/>
  <c r="W224" i="10" s="1"/>
  <c r="R231" i="10"/>
  <c r="U231" i="10" s="1"/>
  <c r="T223" i="10"/>
  <c r="W223" i="10" s="1"/>
  <c r="R210" i="10"/>
  <c r="U210" i="10" s="1"/>
  <c r="R202" i="10"/>
  <c r="U202" i="10" s="1"/>
  <c r="R139" i="10"/>
  <c r="U139" i="10" s="1"/>
  <c r="R147" i="10"/>
  <c r="U147" i="10" s="1"/>
  <c r="R126" i="10"/>
  <c r="U126" i="10" s="1"/>
  <c r="R118" i="10"/>
  <c r="U118" i="10" s="1"/>
  <c r="T136" i="16"/>
  <c r="W136" i="16" s="1"/>
  <c r="T140" i="16"/>
  <c r="W140" i="16" s="1"/>
  <c r="T144" i="16"/>
  <c r="W144" i="16" s="1"/>
  <c r="T148" i="16"/>
  <c r="W148" i="16" s="1"/>
  <c r="R158" i="16"/>
  <c r="U158" i="16" s="1"/>
  <c r="R162" i="16"/>
  <c r="U162" i="16" s="1"/>
  <c r="R166" i="16"/>
  <c r="U166" i="16" s="1"/>
  <c r="R170" i="16"/>
  <c r="U170" i="16" s="1"/>
  <c r="T180" i="16"/>
  <c r="W180" i="16" s="1"/>
  <c r="T184" i="16"/>
  <c r="W184" i="16" s="1"/>
  <c r="T188" i="16"/>
  <c r="W188" i="16" s="1"/>
  <c r="R198" i="16"/>
  <c r="U198" i="16" s="1"/>
  <c r="R202" i="16"/>
  <c r="U202" i="16" s="1"/>
  <c r="R206" i="16"/>
  <c r="U206" i="16" s="1"/>
  <c r="R210" i="16"/>
  <c r="U210" i="16" s="1"/>
  <c r="T220" i="16"/>
  <c r="W220" i="16" s="1"/>
  <c r="T224" i="16"/>
  <c r="W224" i="16" s="1"/>
  <c r="T228" i="16"/>
  <c r="W228" i="16" s="1"/>
  <c r="T232" i="16"/>
  <c r="W232" i="16" s="1"/>
  <c r="R242" i="16"/>
  <c r="U242" i="16" s="1"/>
  <c r="R246" i="16"/>
  <c r="U246" i="16" s="1"/>
  <c r="R250" i="16"/>
  <c r="U250" i="16" s="1"/>
  <c r="R254" i="16"/>
  <c r="U254" i="16" s="1"/>
  <c r="T264" i="16"/>
  <c r="W264" i="16" s="1"/>
  <c r="R267" i="16"/>
  <c r="U267" i="16" s="1"/>
  <c r="R271" i="16"/>
  <c r="U271" i="16" s="1"/>
  <c r="R275" i="16"/>
  <c r="U275" i="16" s="1"/>
  <c r="T285" i="16"/>
  <c r="W285" i="16" s="1"/>
  <c r="T289" i="16"/>
  <c r="W289" i="16" s="1"/>
  <c r="T293" i="16"/>
  <c r="W293" i="16" s="1"/>
  <c r="R303" i="16"/>
  <c r="U303" i="16" s="1"/>
  <c r="R307" i="16"/>
  <c r="U307" i="16" s="1"/>
  <c r="R311" i="16"/>
  <c r="U311" i="16" s="1"/>
  <c r="R315" i="16"/>
  <c r="U315" i="16" s="1"/>
  <c r="T325" i="16"/>
  <c r="W325" i="16" s="1"/>
  <c r="T329" i="16"/>
  <c r="W329" i="16" s="1"/>
  <c r="T333" i="16"/>
  <c r="W333" i="16" s="1"/>
  <c r="T337" i="16"/>
  <c r="W337" i="16" s="1"/>
  <c r="R347" i="16"/>
  <c r="U347" i="16" s="1"/>
  <c r="T350" i="16"/>
  <c r="W350" i="16" s="1"/>
  <c r="T354" i="16"/>
  <c r="W354" i="16" s="1"/>
  <c r="T358" i="16"/>
  <c r="W358" i="16" s="1"/>
  <c r="R368" i="16"/>
  <c r="U368" i="16" s="1"/>
  <c r="R372" i="16"/>
  <c r="U372" i="16" s="1"/>
  <c r="R376" i="16"/>
  <c r="U376" i="16" s="1"/>
  <c r="R380" i="16"/>
  <c r="U380" i="16" s="1"/>
  <c r="T390" i="16"/>
  <c r="W390" i="16" s="1"/>
  <c r="T394" i="16"/>
  <c r="W394" i="16" s="1"/>
  <c r="T398" i="16"/>
  <c r="W398" i="16" s="1"/>
  <c r="R408" i="16"/>
  <c r="U408" i="16" s="1"/>
  <c r="R412" i="16"/>
  <c r="U412" i="16" s="1"/>
  <c r="R416" i="16"/>
  <c r="U416" i="16" s="1"/>
  <c r="R420" i="16"/>
  <c r="U420" i="16" s="1"/>
  <c r="T10" i="15"/>
  <c r="W10" i="15" s="1"/>
  <c r="T14" i="15"/>
  <c r="W14" i="15" s="1"/>
  <c r="T18" i="15"/>
  <c r="W18" i="15" s="1"/>
  <c r="T22" i="15"/>
  <c r="W22" i="15" s="1"/>
  <c r="R32" i="15"/>
  <c r="U32" i="15" s="1"/>
  <c r="R36" i="15"/>
  <c r="U36" i="15" s="1"/>
  <c r="R40" i="15"/>
  <c r="U40" i="15" s="1"/>
  <c r="R44" i="15"/>
  <c r="U44" i="15" s="1"/>
  <c r="T54" i="15"/>
  <c r="W54" i="15" s="1"/>
  <c r="T58" i="15"/>
  <c r="W58" i="15" s="1"/>
  <c r="T62" i="15"/>
  <c r="W62" i="15" s="1"/>
  <c r="R72" i="15"/>
  <c r="U72" i="15" s="1"/>
  <c r="R76" i="15"/>
  <c r="U76" i="15" s="1"/>
  <c r="R80" i="15"/>
  <c r="U80" i="15" s="1"/>
  <c r="R84" i="15"/>
  <c r="U84" i="15" s="1"/>
  <c r="T94" i="15"/>
  <c r="W94" i="15" s="1"/>
  <c r="T98" i="15"/>
  <c r="W98" i="15" s="1"/>
  <c r="T102" i="15"/>
  <c r="W102" i="15" s="1"/>
  <c r="T106" i="15"/>
  <c r="W106" i="15" s="1"/>
  <c r="R116" i="15"/>
  <c r="U116" i="15" s="1"/>
  <c r="R120" i="15"/>
  <c r="U120" i="15" s="1"/>
  <c r="R124" i="15"/>
  <c r="U124" i="15" s="1"/>
  <c r="R128" i="15"/>
  <c r="U128" i="15" s="1"/>
  <c r="T138" i="15"/>
  <c r="W138" i="15" s="1"/>
  <c r="T142" i="15"/>
  <c r="W142" i="15" s="1"/>
  <c r="T146" i="15"/>
  <c r="W146" i="15" s="1"/>
  <c r="R156" i="15"/>
  <c r="U156" i="15" s="1"/>
  <c r="R160" i="15"/>
  <c r="U160" i="15" s="1"/>
  <c r="R164" i="15"/>
  <c r="U164" i="15" s="1"/>
  <c r="R168" i="15"/>
  <c r="U168" i="15" s="1"/>
  <c r="T178" i="15"/>
  <c r="W178" i="15" s="1"/>
  <c r="T182" i="15"/>
  <c r="W182" i="15" s="1"/>
  <c r="T186" i="15"/>
  <c r="W186" i="15" s="1"/>
  <c r="T190" i="15"/>
  <c r="W190" i="15" s="1"/>
  <c r="R200" i="15"/>
  <c r="U200" i="15" s="1"/>
  <c r="R204" i="15"/>
  <c r="U204" i="15" s="1"/>
  <c r="R208" i="15"/>
  <c r="U208" i="15" s="1"/>
  <c r="R212" i="15"/>
  <c r="U212" i="15" s="1"/>
  <c r="T222" i="15"/>
  <c r="W222" i="15" s="1"/>
  <c r="T226" i="15"/>
  <c r="W226" i="15" s="1"/>
  <c r="T230" i="15"/>
  <c r="W230" i="15" s="1"/>
  <c r="R240" i="15"/>
  <c r="U240" i="15" s="1"/>
  <c r="R244" i="15"/>
  <c r="U244" i="15" s="1"/>
  <c r="R248" i="15"/>
  <c r="U248" i="15" s="1"/>
  <c r="R252" i="15"/>
  <c r="U252" i="15" s="1"/>
  <c r="T262" i="15"/>
  <c r="W262" i="15" s="1"/>
  <c r="T266" i="15"/>
  <c r="W266" i="15" s="1"/>
  <c r="T270" i="15"/>
  <c r="W270" i="15" s="1"/>
  <c r="T274" i="15"/>
  <c r="W274" i="15" s="1"/>
  <c r="R284" i="15"/>
  <c r="U284" i="15" s="1"/>
  <c r="R288" i="15"/>
  <c r="U288" i="15" s="1"/>
  <c r="R292" i="15"/>
  <c r="U292" i="15" s="1"/>
  <c r="R296" i="15"/>
  <c r="U296" i="15" s="1"/>
  <c r="T306" i="15"/>
  <c r="W306" i="15" s="1"/>
  <c r="T310" i="15"/>
  <c r="W310" i="15" s="1"/>
  <c r="T314" i="15"/>
  <c r="W314" i="15" s="1"/>
  <c r="R324" i="15"/>
  <c r="U324" i="15" s="1"/>
  <c r="R328" i="15"/>
  <c r="U328" i="15" s="1"/>
  <c r="R332" i="15"/>
  <c r="U332" i="15" s="1"/>
  <c r="R336" i="15"/>
  <c r="U336" i="15" s="1"/>
  <c r="T346" i="15"/>
  <c r="T350" i="15"/>
  <c r="W350" i="15" s="1"/>
  <c r="T354" i="15"/>
  <c r="W354" i="15" s="1"/>
  <c r="T358" i="15"/>
  <c r="W358" i="15" s="1"/>
  <c r="R368" i="15"/>
  <c r="R372" i="15"/>
  <c r="U372" i="15" s="1"/>
  <c r="R376" i="15"/>
  <c r="U376" i="15" s="1"/>
  <c r="R380" i="15"/>
  <c r="U380" i="15" s="1"/>
  <c r="U419" i="12"/>
  <c r="R229" i="8"/>
  <c r="U229" i="8" s="1"/>
  <c r="R40" i="8"/>
  <c r="U40" i="8" s="1"/>
  <c r="R13" i="8"/>
  <c r="U13" i="8" s="1"/>
  <c r="T396" i="9"/>
  <c r="W396" i="9" s="1"/>
  <c r="T371" i="9"/>
  <c r="W371" i="9" s="1"/>
  <c r="R326" i="9"/>
  <c r="U326" i="9" s="1"/>
  <c r="R305" i="9"/>
  <c r="U305" i="9" s="1"/>
  <c r="R284" i="9"/>
  <c r="U284" i="9" s="1"/>
  <c r="T241" i="9"/>
  <c r="W241" i="9" s="1"/>
  <c r="T220" i="9"/>
  <c r="W220" i="9" s="1"/>
  <c r="R198" i="9"/>
  <c r="U198" i="9" s="1"/>
  <c r="T159" i="9"/>
  <c r="W159" i="9" s="1"/>
  <c r="R149" i="9"/>
  <c r="U149" i="9" s="1"/>
  <c r="R105" i="9"/>
  <c r="U105" i="9" s="1"/>
  <c r="T62" i="9"/>
  <c r="W62" i="9" s="1"/>
  <c r="R19" i="9"/>
  <c r="U19" i="9" s="1"/>
  <c r="R395" i="10"/>
  <c r="U395" i="10" s="1"/>
  <c r="R355" i="10"/>
  <c r="U355" i="10" s="1"/>
  <c r="T308" i="10"/>
  <c r="W308" i="10" s="1"/>
  <c r="R252" i="10"/>
  <c r="U252" i="10" s="1"/>
  <c r="R181" i="10"/>
  <c r="U181" i="10" s="1"/>
  <c r="Q175" i="10"/>
  <c r="R168" i="10"/>
  <c r="U168" i="10" s="1"/>
  <c r="Q154" i="10"/>
  <c r="R97" i="10"/>
  <c r="U97" i="10" s="1"/>
  <c r="T62" i="10"/>
  <c r="W62" i="10" s="1"/>
  <c r="T41" i="10"/>
  <c r="W41" i="10" s="1"/>
  <c r="T18" i="10"/>
  <c r="W18" i="10" s="1"/>
  <c r="T417" i="11"/>
  <c r="W417" i="11" s="1"/>
  <c r="R395" i="11"/>
  <c r="U395" i="11" s="1"/>
  <c r="R374" i="11"/>
  <c r="U374" i="11" s="1"/>
  <c r="T356" i="11"/>
  <c r="W356" i="11" s="1"/>
  <c r="R334" i="11"/>
  <c r="U334" i="11" s="1"/>
  <c r="R317" i="11"/>
  <c r="U317" i="11" s="1"/>
  <c r="T295" i="11"/>
  <c r="W295" i="11" s="1"/>
  <c r="R273" i="11"/>
  <c r="U273" i="11" s="1"/>
  <c r="T244" i="11"/>
  <c r="W244" i="11" s="1"/>
  <c r="T219" i="11"/>
  <c r="W219" i="11" s="1"/>
  <c r="R201" i="11"/>
  <c r="U201" i="11" s="1"/>
  <c r="T181" i="11"/>
  <c r="W181" i="11" s="1"/>
  <c r="R159" i="11"/>
  <c r="U159" i="11" s="1"/>
  <c r="T140" i="11"/>
  <c r="W140" i="11" s="1"/>
  <c r="R115" i="11"/>
  <c r="U115" i="11" s="1"/>
  <c r="R96" i="11"/>
  <c r="U96" i="11" s="1"/>
  <c r="R73" i="11"/>
  <c r="U73" i="11" s="1"/>
  <c r="R348" i="12"/>
  <c r="U348" i="12" s="1"/>
  <c r="T358" i="12"/>
  <c r="W358" i="12" s="1"/>
  <c r="T350" i="12"/>
  <c r="W350" i="12" s="1"/>
  <c r="T324" i="12"/>
  <c r="W324" i="12" s="1"/>
  <c r="R329" i="12"/>
  <c r="U329" i="12" s="1"/>
  <c r="R335" i="12"/>
  <c r="U335" i="12" s="1"/>
  <c r="R282" i="12"/>
  <c r="U282" i="12" s="1"/>
  <c r="R288" i="12"/>
  <c r="U288" i="12" s="1"/>
  <c r="T293" i="12"/>
  <c r="W293" i="12" s="1"/>
  <c r="T304" i="12"/>
  <c r="W304" i="12" s="1"/>
  <c r="T309" i="12"/>
  <c r="W309" i="12" s="1"/>
  <c r="R314" i="12"/>
  <c r="U314" i="12" s="1"/>
  <c r="T270" i="12"/>
  <c r="W270" i="12" s="1"/>
  <c r="T266" i="12"/>
  <c r="W266" i="12" s="1"/>
  <c r="T262" i="12"/>
  <c r="R252" i="12"/>
  <c r="U252" i="12" s="1"/>
  <c r="R248" i="12"/>
  <c r="U248" i="12" s="1"/>
  <c r="R244" i="12"/>
  <c r="U244" i="12" s="1"/>
  <c r="R240" i="12"/>
  <c r="U240" i="12" s="1"/>
  <c r="T230" i="12"/>
  <c r="W230" i="12" s="1"/>
  <c r="T226" i="12"/>
  <c r="W226" i="12" s="1"/>
  <c r="T222" i="12"/>
  <c r="W222" i="12" s="1"/>
  <c r="R212" i="12"/>
  <c r="U212" i="12" s="1"/>
  <c r="R208" i="12"/>
  <c r="U208" i="12" s="1"/>
  <c r="R204" i="12"/>
  <c r="U204" i="12" s="1"/>
  <c r="R200" i="12"/>
  <c r="T190" i="12"/>
  <c r="W190" i="12" s="1"/>
  <c r="T186" i="12"/>
  <c r="W186" i="12" s="1"/>
  <c r="T182" i="12"/>
  <c r="W182" i="12" s="1"/>
  <c r="T178" i="12"/>
  <c r="R168" i="12"/>
  <c r="U168" i="12" s="1"/>
  <c r="R164" i="12"/>
  <c r="U164" i="12" s="1"/>
  <c r="R160" i="12"/>
  <c r="U160" i="12" s="1"/>
  <c r="R156" i="12"/>
  <c r="U156" i="12" s="1"/>
  <c r="T146" i="12"/>
  <c r="W146" i="12" s="1"/>
  <c r="T142" i="12"/>
  <c r="W142" i="12" s="1"/>
  <c r="T138" i="12"/>
  <c r="W138" i="12" s="1"/>
  <c r="R128" i="12"/>
  <c r="U128" i="12" s="1"/>
  <c r="R124" i="12"/>
  <c r="U124" i="12" s="1"/>
  <c r="R120" i="12"/>
  <c r="U120" i="12" s="1"/>
  <c r="R116" i="12"/>
  <c r="U116" i="12" s="1"/>
  <c r="T106" i="12"/>
  <c r="W106" i="12" s="1"/>
  <c r="T102" i="12"/>
  <c r="W102" i="12" s="1"/>
  <c r="T98" i="12"/>
  <c r="W98" i="12" s="1"/>
  <c r="T94" i="12"/>
  <c r="R84" i="12"/>
  <c r="U84" i="12" s="1"/>
  <c r="R80" i="12"/>
  <c r="U80" i="12" s="1"/>
  <c r="R76" i="12"/>
  <c r="U76" i="12" s="1"/>
  <c r="R72" i="12"/>
  <c r="U72" i="12" s="1"/>
  <c r="T62" i="12"/>
  <c r="W62" i="12" s="1"/>
  <c r="T58" i="12"/>
  <c r="W58" i="12" s="1"/>
  <c r="T54" i="12"/>
  <c r="W54" i="12" s="1"/>
  <c r="R44" i="12"/>
  <c r="U44" i="12" s="1"/>
  <c r="R40" i="12"/>
  <c r="U40" i="12" s="1"/>
  <c r="R36" i="12"/>
  <c r="U36" i="12" s="1"/>
  <c r="R32" i="12"/>
  <c r="T22" i="12"/>
  <c r="W22" i="12" s="1"/>
  <c r="T18" i="12"/>
  <c r="W18" i="12" s="1"/>
  <c r="T14" i="12"/>
  <c r="W14" i="12" s="1"/>
  <c r="T10" i="12"/>
  <c r="R420" i="13"/>
  <c r="U420" i="13" s="1"/>
  <c r="R416" i="13"/>
  <c r="U416" i="13" s="1"/>
  <c r="R412" i="13"/>
  <c r="U412" i="13" s="1"/>
  <c r="R408" i="13"/>
  <c r="T398" i="13"/>
  <c r="W398" i="13" s="1"/>
  <c r="T394" i="13"/>
  <c r="W394" i="13" s="1"/>
  <c r="T390" i="13"/>
  <c r="W390" i="13" s="1"/>
  <c r="R380" i="13"/>
  <c r="U380" i="13" s="1"/>
  <c r="R376" i="13"/>
  <c r="U376" i="13" s="1"/>
  <c r="R372" i="13"/>
  <c r="U372" i="13" s="1"/>
  <c r="R368" i="13"/>
  <c r="U368" i="13" s="1"/>
  <c r="U385" i="13" s="1"/>
  <c r="T358" i="13"/>
  <c r="W358" i="13" s="1"/>
  <c r="T354" i="13"/>
  <c r="W354" i="13" s="1"/>
  <c r="T350" i="13"/>
  <c r="W350" i="13" s="1"/>
  <c r="T346" i="13"/>
  <c r="R336" i="13"/>
  <c r="U336" i="13" s="1"/>
  <c r="R332" i="13"/>
  <c r="U332" i="13" s="1"/>
  <c r="R328" i="13"/>
  <c r="U328" i="13" s="1"/>
  <c r="R324" i="13"/>
  <c r="U324" i="13" s="1"/>
  <c r="T314" i="13"/>
  <c r="W314" i="13" s="1"/>
  <c r="T310" i="13"/>
  <c r="W310" i="13" s="1"/>
  <c r="T306" i="13"/>
  <c r="W306" i="13" s="1"/>
  <c r="W322" i="13" s="1"/>
  <c r="R296" i="13"/>
  <c r="U296" i="13" s="1"/>
  <c r="R292" i="13"/>
  <c r="U292" i="13" s="1"/>
  <c r="R288" i="13"/>
  <c r="U288" i="13" s="1"/>
  <c r="R284" i="13"/>
  <c r="T274" i="13"/>
  <c r="W274" i="13" s="1"/>
  <c r="T270" i="13"/>
  <c r="W270" i="13" s="1"/>
  <c r="T266" i="13"/>
  <c r="W266" i="13" s="1"/>
  <c r="T262" i="13"/>
  <c r="R252" i="13"/>
  <c r="U252" i="13" s="1"/>
  <c r="R248" i="13"/>
  <c r="U248" i="13" s="1"/>
  <c r="R244" i="13"/>
  <c r="U244" i="13" s="1"/>
  <c r="R240" i="13"/>
  <c r="T230" i="13"/>
  <c r="W230" i="13" s="1"/>
  <c r="T226" i="13"/>
  <c r="W226" i="13" s="1"/>
  <c r="T222" i="13"/>
  <c r="W222" i="13" s="1"/>
  <c r="R212" i="13"/>
  <c r="U212" i="13" s="1"/>
  <c r="R208" i="13"/>
  <c r="U208" i="13" s="1"/>
  <c r="R204" i="13"/>
  <c r="U204" i="13" s="1"/>
  <c r="R200" i="13"/>
  <c r="U200" i="13" s="1"/>
  <c r="T190" i="13"/>
  <c r="W190" i="13" s="1"/>
  <c r="T186" i="13"/>
  <c r="W186" i="13" s="1"/>
  <c r="T182" i="13"/>
  <c r="W182" i="13" s="1"/>
  <c r="T178" i="13"/>
  <c r="R168" i="13"/>
  <c r="U168" i="13" s="1"/>
  <c r="R164" i="13"/>
  <c r="U164" i="13" s="1"/>
  <c r="R160" i="13"/>
  <c r="U160" i="13" s="1"/>
  <c r="R156" i="13"/>
  <c r="T146" i="13"/>
  <c r="W146" i="13" s="1"/>
  <c r="T142" i="13"/>
  <c r="W142" i="13" s="1"/>
  <c r="T138" i="13"/>
  <c r="R128" i="13"/>
  <c r="U128" i="13" s="1"/>
  <c r="R124" i="13"/>
  <c r="U124" i="13" s="1"/>
  <c r="R120" i="13"/>
  <c r="U120" i="13" s="1"/>
  <c r="R116" i="13"/>
  <c r="U116" i="13" s="1"/>
  <c r="T106" i="13"/>
  <c r="W106" i="13" s="1"/>
  <c r="T102" i="13"/>
  <c r="W102" i="13" s="1"/>
  <c r="T98" i="13"/>
  <c r="W98" i="13" s="1"/>
  <c r="T94" i="13"/>
  <c r="R84" i="13"/>
  <c r="U84" i="13" s="1"/>
  <c r="R80" i="13"/>
  <c r="U80" i="13" s="1"/>
  <c r="R76" i="13"/>
  <c r="U76" i="13" s="1"/>
  <c r="R72" i="13"/>
  <c r="U72" i="13" s="1"/>
  <c r="T62" i="13"/>
  <c r="W62" i="13" s="1"/>
  <c r="T58" i="13"/>
  <c r="W58" i="13" s="1"/>
  <c r="T54" i="13"/>
  <c r="W54" i="13" s="1"/>
  <c r="R44" i="13"/>
  <c r="U44" i="13" s="1"/>
  <c r="R40" i="13"/>
  <c r="U40" i="13" s="1"/>
  <c r="R36" i="13"/>
  <c r="U36" i="13" s="1"/>
  <c r="R32" i="13"/>
  <c r="U32" i="13" s="1"/>
  <c r="T22" i="13"/>
  <c r="W22" i="13" s="1"/>
  <c r="T18" i="13"/>
  <c r="W18" i="13" s="1"/>
  <c r="T14" i="13"/>
  <c r="W14" i="13" s="1"/>
  <c r="T10" i="13"/>
  <c r="R420" i="14"/>
  <c r="U420" i="14" s="1"/>
  <c r="R416" i="14"/>
  <c r="U416" i="14" s="1"/>
  <c r="R412" i="14"/>
  <c r="U412" i="14" s="1"/>
  <c r="R408" i="14"/>
  <c r="T398" i="14"/>
  <c r="W398" i="14" s="1"/>
  <c r="T394" i="14"/>
  <c r="W394" i="14" s="1"/>
  <c r="T390" i="14"/>
  <c r="W390" i="14" s="1"/>
  <c r="R380" i="14"/>
  <c r="U380" i="14" s="1"/>
  <c r="R376" i="14"/>
  <c r="U376" i="14" s="1"/>
  <c r="R372" i="14"/>
  <c r="U372" i="14" s="1"/>
  <c r="R368" i="14"/>
  <c r="U368" i="14" s="1"/>
  <c r="T358" i="14"/>
  <c r="W358" i="14" s="1"/>
  <c r="T354" i="14"/>
  <c r="W354" i="14" s="1"/>
  <c r="T350" i="14"/>
  <c r="W350" i="14" s="1"/>
  <c r="T346" i="14"/>
  <c r="R336" i="14"/>
  <c r="U336" i="14" s="1"/>
  <c r="R332" i="14"/>
  <c r="U332" i="14" s="1"/>
  <c r="R328" i="14"/>
  <c r="U328" i="14" s="1"/>
  <c r="R324" i="14"/>
  <c r="T314" i="14"/>
  <c r="W314" i="14" s="1"/>
  <c r="T310" i="14"/>
  <c r="W310" i="14" s="1"/>
  <c r="T306" i="14"/>
  <c r="W306" i="14" s="1"/>
  <c r="R296" i="14"/>
  <c r="U296" i="14" s="1"/>
  <c r="R292" i="14"/>
  <c r="U292" i="14" s="1"/>
  <c r="R288" i="14"/>
  <c r="U288" i="14" s="1"/>
  <c r="R284" i="14"/>
  <c r="U284" i="14" s="1"/>
  <c r="T274" i="14"/>
  <c r="W274" i="14" s="1"/>
  <c r="T270" i="14"/>
  <c r="W125" i="16"/>
  <c r="R135" i="16"/>
  <c r="U135" i="16" s="1"/>
  <c r="R139" i="16"/>
  <c r="U139" i="16" s="1"/>
  <c r="R143" i="16"/>
  <c r="U143" i="16" s="1"/>
  <c r="T157" i="16"/>
  <c r="W157" i="16" s="1"/>
  <c r="T161" i="16"/>
  <c r="W161" i="16" s="1"/>
  <c r="T165" i="16"/>
  <c r="W165" i="16" s="1"/>
  <c r="R179" i="16"/>
  <c r="U179" i="16" s="1"/>
  <c r="R183" i="16"/>
  <c r="U183" i="16" s="1"/>
  <c r="R187" i="16"/>
  <c r="U187" i="16" s="1"/>
  <c r="T201" i="16"/>
  <c r="W201" i="16" s="1"/>
  <c r="T205" i="16"/>
  <c r="W205" i="16" s="1"/>
  <c r="R219" i="16"/>
  <c r="U219" i="16" s="1"/>
  <c r="R223" i="16"/>
  <c r="U223" i="16" s="1"/>
  <c r="R227" i="16"/>
  <c r="U227" i="16" s="1"/>
  <c r="T241" i="16"/>
  <c r="W241" i="16" s="1"/>
  <c r="T245" i="16"/>
  <c r="W245" i="16" s="1"/>
  <c r="T249" i="16"/>
  <c r="W249" i="16" s="1"/>
  <c r="R263" i="16"/>
  <c r="U263" i="16" s="1"/>
  <c r="T270" i="16"/>
  <c r="W270" i="16" s="1"/>
  <c r="R284" i="16"/>
  <c r="U284" i="16" s="1"/>
  <c r="R288" i="16"/>
  <c r="U288" i="16" s="1"/>
  <c r="R292" i="16"/>
  <c r="U292" i="16" s="1"/>
  <c r="T306" i="16"/>
  <c r="W306" i="16" s="1"/>
  <c r="T310" i="16"/>
  <c r="W310" i="16" s="1"/>
  <c r="R324" i="16"/>
  <c r="U324" i="16" s="1"/>
  <c r="R328" i="16"/>
  <c r="U328" i="16" s="1"/>
  <c r="R332" i="16"/>
  <c r="U332" i="16" s="1"/>
  <c r="T346" i="16"/>
  <c r="W346" i="16" s="1"/>
  <c r="R349" i="16"/>
  <c r="U349" i="16" s="1"/>
  <c r="R353" i="16"/>
  <c r="U353" i="16" s="1"/>
  <c r="T367" i="16"/>
  <c r="W367" i="16" s="1"/>
  <c r="T371" i="16"/>
  <c r="W371" i="16" s="1"/>
  <c r="T375" i="16"/>
  <c r="W375" i="16" s="1"/>
  <c r="R389" i="16"/>
  <c r="U389" i="16" s="1"/>
  <c r="R393" i="16"/>
  <c r="U393" i="16" s="1"/>
  <c r="R397" i="16"/>
  <c r="U397" i="16" s="1"/>
  <c r="T411" i="16"/>
  <c r="W411" i="16" s="1"/>
  <c r="T415" i="16"/>
  <c r="W415" i="16" s="1"/>
  <c r="R9" i="15"/>
  <c r="U9" i="15" s="1"/>
  <c r="R13" i="15"/>
  <c r="U13" i="15" s="1"/>
  <c r="R17" i="15"/>
  <c r="U17" i="15" s="1"/>
  <c r="T31" i="15"/>
  <c r="W31" i="15" s="1"/>
  <c r="T35" i="15"/>
  <c r="W35" i="15" s="1"/>
  <c r="T39" i="15"/>
  <c r="W39" i="15" s="1"/>
  <c r="R53" i="15"/>
  <c r="U53" i="15" s="1"/>
  <c r="R57" i="15"/>
  <c r="U57" i="15" s="1"/>
  <c r="R61" i="15"/>
  <c r="U61" i="15" s="1"/>
  <c r="T75" i="15"/>
  <c r="W75" i="15" s="1"/>
  <c r="T79" i="15"/>
  <c r="W79" i="15" s="1"/>
  <c r="R93" i="15"/>
  <c r="U93" i="15" s="1"/>
  <c r="R97" i="15"/>
  <c r="U97" i="15" s="1"/>
  <c r="R101" i="15"/>
  <c r="U101" i="15" s="1"/>
  <c r="T115" i="15"/>
  <c r="W115" i="15" s="1"/>
  <c r="T119" i="15"/>
  <c r="W119" i="15" s="1"/>
  <c r="T123" i="15"/>
  <c r="W123" i="15" s="1"/>
  <c r="R137" i="15"/>
  <c r="U137" i="15" s="1"/>
  <c r="R141" i="15"/>
  <c r="U141" i="15" s="1"/>
  <c r="R145" i="15"/>
  <c r="U145" i="15" s="1"/>
  <c r="T159" i="15"/>
  <c r="W159" i="15" s="1"/>
  <c r="T163" i="15"/>
  <c r="W163" i="15" s="1"/>
  <c r="R177" i="15"/>
  <c r="U177" i="15" s="1"/>
  <c r="R181" i="15"/>
  <c r="U181" i="15" s="1"/>
  <c r="R185" i="15"/>
  <c r="U185" i="15" s="1"/>
  <c r="T199" i="15"/>
  <c r="T203" i="15"/>
  <c r="W203" i="15" s="1"/>
  <c r="T207" i="15"/>
  <c r="W207" i="15" s="1"/>
  <c r="R221" i="15"/>
  <c r="U221" i="15" s="1"/>
  <c r="R225" i="15"/>
  <c r="U225" i="15" s="1"/>
  <c r="R229" i="15"/>
  <c r="U229" i="15" s="1"/>
  <c r="T243" i="15"/>
  <c r="W243" i="15" s="1"/>
  <c r="T247" i="15"/>
  <c r="W247" i="15" s="1"/>
  <c r="R261" i="15"/>
  <c r="U261" i="15" s="1"/>
  <c r="R265" i="15"/>
  <c r="U265" i="15" s="1"/>
  <c r="R269" i="15"/>
  <c r="U269" i="15" s="1"/>
  <c r="T283" i="15"/>
  <c r="W283" i="15" s="1"/>
  <c r="T287" i="15"/>
  <c r="W287" i="15" s="1"/>
  <c r="T291" i="15"/>
  <c r="W291" i="15" s="1"/>
  <c r="R305" i="15"/>
  <c r="U305" i="15" s="1"/>
  <c r="R309" i="15"/>
  <c r="U309" i="15" s="1"/>
  <c r="R313" i="15"/>
  <c r="U313" i="15" s="1"/>
  <c r="T327" i="15"/>
  <c r="W327" i="15" s="1"/>
  <c r="T331" i="15"/>
  <c r="W331" i="15" s="1"/>
  <c r="R345" i="15"/>
  <c r="U345" i="15" s="1"/>
  <c r="R349" i="15"/>
  <c r="U349" i="15" s="1"/>
  <c r="R353" i="15"/>
  <c r="U353" i="15" s="1"/>
  <c r="T367" i="15"/>
  <c r="W367" i="15" s="1"/>
  <c r="T371" i="15"/>
  <c r="W371" i="15" s="1"/>
  <c r="T375" i="15"/>
  <c r="W375" i="15" s="1"/>
  <c r="W420" i="12"/>
  <c r="R97" i="8"/>
  <c r="U97" i="8" s="1"/>
  <c r="O343" i="12"/>
  <c r="W274" i="12"/>
  <c r="T392" i="12"/>
  <c r="W392" i="12" s="1"/>
  <c r="T180" i="11"/>
  <c r="W180" i="11" s="1"/>
  <c r="T220" i="11"/>
  <c r="W220" i="11" s="1"/>
  <c r="T228" i="11"/>
  <c r="W228" i="11" s="1"/>
  <c r="R261" i="11"/>
  <c r="R265" i="11"/>
  <c r="U265" i="11" s="1"/>
  <c r="R269" i="11"/>
  <c r="U269" i="11" s="1"/>
  <c r="R284" i="11"/>
  <c r="U284" i="11" s="1"/>
  <c r="T289" i="11"/>
  <c r="W289" i="11" s="1"/>
  <c r="T306" i="11"/>
  <c r="W306" i="11" s="1"/>
  <c r="R311" i="11"/>
  <c r="U311" i="11" s="1"/>
  <c r="R328" i="11"/>
  <c r="U328" i="11" s="1"/>
  <c r="R345" i="11"/>
  <c r="U345" i="11" s="1"/>
  <c r="T350" i="11"/>
  <c r="W350" i="11" s="1"/>
  <c r="R368" i="11"/>
  <c r="T388" i="11"/>
  <c r="W388" i="11" s="1"/>
  <c r="T409" i="11"/>
  <c r="W409" i="11" s="1"/>
  <c r="T10" i="10"/>
  <c r="W10" i="10" s="1"/>
  <c r="T31" i="10"/>
  <c r="W31" i="10" s="1"/>
  <c r="R55" i="10"/>
  <c r="U55" i="10" s="1"/>
  <c r="T374" i="12"/>
  <c r="W374" i="12" s="1"/>
  <c r="R357" i="8"/>
  <c r="U357" i="8" s="1"/>
  <c r="T308" i="8"/>
  <c r="W308" i="8" s="1"/>
  <c r="T222" i="8"/>
  <c r="T203" i="8"/>
  <c r="W203" i="8" s="1"/>
  <c r="T184" i="8"/>
  <c r="R156" i="8"/>
  <c r="U156" i="8" s="1"/>
  <c r="T140" i="8"/>
  <c r="W140" i="8" s="1"/>
  <c r="O217" i="11"/>
  <c r="W162" i="11"/>
  <c r="O175" i="11"/>
  <c r="O112" i="11"/>
  <c r="O91" i="11"/>
  <c r="O406" i="12"/>
  <c r="T368" i="12"/>
  <c r="W368" i="12" s="1"/>
  <c r="W385" i="12" s="1"/>
  <c r="T326" i="12"/>
  <c r="W326" i="12" s="1"/>
  <c r="T283" i="12"/>
  <c r="W283" i="12" s="1"/>
  <c r="R303" i="12"/>
  <c r="U303" i="12" s="1"/>
  <c r="R84" i="10"/>
  <c r="U84" i="10" s="1"/>
  <c r="T64" i="10"/>
  <c r="W64" i="10" s="1"/>
  <c r="T43" i="10"/>
  <c r="W43" i="10" s="1"/>
  <c r="W20" i="10"/>
  <c r="T22" i="10"/>
  <c r="W22" i="10" s="1"/>
  <c r="R419" i="11"/>
  <c r="U419" i="11" s="1"/>
  <c r="T400" i="11"/>
  <c r="W400" i="11" s="1"/>
  <c r="T379" i="11"/>
  <c r="W379" i="11" s="1"/>
  <c r="T358" i="11"/>
  <c r="W358" i="11" s="1"/>
  <c r="T337" i="11"/>
  <c r="W337" i="11" s="1"/>
  <c r="T316" i="11"/>
  <c r="W316" i="11" s="1"/>
  <c r="R294" i="11"/>
  <c r="U294" i="11" s="1"/>
  <c r="R243" i="11"/>
  <c r="U243" i="11" s="1"/>
  <c r="T231" i="11"/>
  <c r="W231" i="11" s="1"/>
  <c r="R92" i="14"/>
  <c r="R92" i="22"/>
  <c r="U92" i="22" s="1"/>
  <c r="U344" i="17"/>
  <c r="U364" i="17" s="1"/>
  <c r="R364" i="17"/>
  <c r="U281" i="17"/>
  <c r="U301" i="17" s="1"/>
  <c r="R301" i="17"/>
  <c r="W282" i="11"/>
  <c r="W324" i="10"/>
  <c r="T156" i="96"/>
  <c r="W259" i="20"/>
  <c r="W393" i="13"/>
  <c r="W406" i="13" s="1"/>
  <c r="T406" i="13"/>
  <c r="W51" i="12"/>
  <c r="W70" i="12" s="1"/>
  <c r="T70" i="12"/>
  <c r="W137" i="12"/>
  <c r="W154" i="12" s="1"/>
  <c r="T154" i="12"/>
  <c r="U344" i="16"/>
  <c r="U364" i="16" s="1"/>
  <c r="W133" i="14"/>
  <c r="O8" i="101"/>
  <c r="S186" i="96"/>
  <c r="O29" i="105"/>
  <c r="U138" i="18"/>
  <c r="U155" i="9"/>
  <c r="W365" i="21"/>
  <c r="W385" i="21" s="1"/>
  <c r="W175" i="21"/>
  <c r="U427" i="19"/>
  <c r="R427" i="19"/>
  <c r="T343" i="13"/>
  <c r="T259" i="12"/>
  <c r="U43" i="17"/>
  <c r="W281" i="13"/>
  <c r="U344" i="10"/>
  <c r="W218" i="14"/>
  <c r="W238" i="14" s="1"/>
  <c r="R385" i="20"/>
  <c r="R427" i="22"/>
  <c r="T154" i="20"/>
  <c r="U302" i="11"/>
  <c r="U322" i="11" s="1"/>
  <c r="U302" i="21"/>
  <c r="W344" i="22"/>
  <c r="U386" i="10"/>
  <c r="U239" i="12"/>
  <c r="U259" i="12" s="1"/>
  <c r="W72" i="16"/>
  <c r="W91" i="16" s="1"/>
  <c r="U386" i="21"/>
  <c r="W175" i="22"/>
  <c r="T112" i="17"/>
  <c r="T28" i="16"/>
  <c r="R175" i="17"/>
  <c r="T154" i="17"/>
  <c r="W322" i="20"/>
  <c r="T322" i="13"/>
  <c r="T238" i="12"/>
  <c r="O23" i="101"/>
  <c r="M95" i="96"/>
  <c r="T70" i="14"/>
  <c r="R49" i="18"/>
  <c r="T28" i="14"/>
  <c r="R70" i="22"/>
  <c r="T49" i="17"/>
  <c r="T175" i="12"/>
  <c r="R385" i="18"/>
  <c r="R238" i="22"/>
  <c r="T196" i="20"/>
  <c r="T343" i="19"/>
  <c r="R322" i="18"/>
  <c r="T217" i="22"/>
  <c r="T70" i="16"/>
  <c r="T364" i="17"/>
  <c r="T406" i="17"/>
  <c r="W238" i="17"/>
  <c r="R273" i="8"/>
  <c r="U273" i="8" s="1"/>
  <c r="T262" i="8"/>
  <c r="W262" i="8" s="1"/>
  <c r="R199" i="11"/>
  <c r="U199" i="11" s="1"/>
  <c r="R203" i="11"/>
  <c r="U203" i="11" s="1"/>
  <c r="R207" i="11"/>
  <c r="U207" i="11" s="1"/>
  <c r="R211" i="11"/>
  <c r="U211" i="11" s="1"/>
  <c r="R212" i="11"/>
  <c r="U212" i="11" s="1"/>
  <c r="T198" i="11"/>
  <c r="T202" i="11"/>
  <c r="W202" i="11" s="1"/>
  <c r="T206" i="11"/>
  <c r="W206" i="11" s="1"/>
  <c r="T210" i="11"/>
  <c r="W210" i="11" s="1"/>
  <c r="T179" i="11"/>
  <c r="W179" i="11" s="1"/>
  <c r="T183" i="11"/>
  <c r="W183" i="11" s="1"/>
  <c r="T187" i="11"/>
  <c r="W187" i="11" s="1"/>
  <c r="T191" i="11"/>
  <c r="W191" i="11" s="1"/>
  <c r="R178" i="11"/>
  <c r="U178" i="11" s="1"/>
  <c r="R182" i="11"/>
  <c r="U182" i="11" s="1"/>
  <c r="R186" i="11"/>
  <c r="U186" i="11" s="1"/>
  <c r="R190" i="11"/>
  <c r="U190" i="11" s="1"/>
  <c r="R176" i="11"/>
  <c r="R180" i="11"/>
  <c r="U180" i="11" s="1"/>
  <c r="R184" i="11"/>
  <c r="U184" i="11" s="1"/>
  <c r="R188" i="11"/>
  <c r="U188" i="11" s="1"/>
  <c r="R157" i="11"/>
  <c r="U157" i="11" s="1"/>
  <c r="R161" i="11"/>
  <c r="U161" i="11" s="1"/>
  <c r="T164" i="11"/>
  <c r="W164" i="11" s="1"/>
  <c r="T156" i="11"/>
  <c r="W156" i="11" s="1"/>
  <c r="T160" i="11"/>
  <c r="W160" i="11" s="1"/>
  <c r="R163" i="11"/>
  <c r="U163" i="11" s="1"/>
  <c r="R167" i="11"/>
  <c r="U167" i="11" s="1"/>
  <c r="T170" i="11"/>
  <c r="W170" i="11" s="1"/>
  <c r="T137" i="11"/>
  <c r="W137" i="11" s="1"/>
  <c r="T141" i="11"/>
  <c r="W141" i="11" s="1"/>
  <c r="T145" i="11"/>
  <c r="W145" i="11" s="1"/>
  <c r="T149" i="11"/>
  <c r="W149" i="11" s="1"/>
  <c r="R136" i="11"/>
  <c r="U136" i="11" s="1"/>
  <c r="R140" i="11"/>
  <c r="U140" i="11" s="1"/>
  <c r="R144" i="11"/>
  <c r="U144" i="11" s="1"/>
  <c r="R148" i="11"/>
  <c r="U148" i="11" s="1"/>
  <c r="R134" i="11"/>
  <c r="U134" i="11" s="1"/>
  <c r="R138" i="11"/>
  <c r="U138" i="11" s="1"/>
  <c r="R142" i="11"/>
  <c r="U142" i="11" s="1"/>
  <c r="R146" i="11"/>
  <c r="U146" i="11" s="1"/>
  <c r="R113" i="11"/>
  <c r="R117" i="11"/>
  <c r="U117" i="11" s="1"/>
  <c r="R121" i="11"/>
  <c r="U121" i="11" s="1"/>
  <c r="R125" i="11"/>
  <c r="U125" i="11" s="1"/>
  <c r="T116" i="11"/>
  <c r="W116" i="11" s="1"/>
  <c r="T120" i="11"/>
  <c r="W120" i="11" s="1"/>
  <c r="T124" i="11"/>
  <c r="W124" i="11" s="1"/>
  <c r="T128" i="11"/>
  <c r="W128" i="11" s="1"/>
  <c r="R94" i="11"/>
  <c r="U94" i="11" s="1"/>
  <c r="R98" i="11"/>
  <c r="U98" i="11" s="1"/>
  <c r="T105" i="11"/>
  <c r="W105" i="11" s="1"/>
  <c r="T97" i="11"/>
  <c r="W97" i="11" s="1"/>
  <c r="T101" i="11"/>
  <c r="W101" i="11" s="1"/>
  <c r="R104" i="11"/>
  <c r="U104" i="11" s="1"/>
  <c r="R92" i="11"/>
  <c r="T95" i="11"/>
  <c r="T99" i="11"/>
  <c r="W99" i="11" s="1"/>
  <c r="R102" i="11"/>
  <c r="U102" i="11" s="1"/>
  <c r="R106" i="11"/>
  <c r="U106" i="11" s="1"/>
  <c r="R71" i="11"/>
  <c r="R75" i="11"/>
  <c r="U75" i="11" s="1"/>
  <c r="T78" i="11"/>
  <c r="W78" i="11" s="1"/>
  <c r="T82" i="11"/>
  <c r="W82" i="11" s="1"/>
  <c r="T86" i="11"/>
  <c r="W86" i="11" s="1"/>
  <c r="T74" i="11"/>
  <c r="W74" i="11" s="1"/>
  <c r="R77" i="11"/>
  <c r="U77" i="11" s="1"/>
  <c r="R81" i="11"/>
  <c r="U81" i="11" s="1"/>
  <c r="R85" i="11"/>
  <c r="U85" i="11" s="1"/>
  <c r="T51" i="11"/>
  <c r="W51" i="11" s="1"/>
  <c r="T55" i="11"/>
  <c r="W55" i="11" s="1"/>
  <c r="T59" i="11"/>
  <c r="W59" i="11" s="1"/>
  <c r="T63" i="11"/>
  <c r="W63" i="11" s="1"/>
  <c r="R50" i="11"/>
  <c r="U50" i="11" s="1"/>
  <c r="R54" i="11"/>
  <c r="U54" i="11" s="1"/>
  <c r="R58" i="11"/>
  <c r="U58" i="11" s="1"/>
  <c r="R62" i="11"/>
  <c r="U62" i="11" s="1"/>
  <c r="R52" i="11"/>
  <c r="U52" i="11" s="1"/>
  <c r="R56" i="11"/>
  <c r="U56" i="11" s="1"/>
  <c r="R60" i="11"/>
  <c r="U60" i="11" s="1"/>
  <c r="R64" i="11"/>
  <c r="U64" i="11" s="1"/>
  <c r="R31" i="11"/>
  <c r="U31" i="11" s="1"/>
  <c r="R35" i="11"/>
  <c r="U35" i="11" s="1"/>
  <c r="R39" i="11"/>
  <c r="U39" i="11" s="1"/>
  <c r="R43" i="11"/>
  <c r="U43" i="11" s="1"/>
  <c r="T34" i="11"/>
  <c r="W34" i="11" s="1"/>
  <c r="T38" i="11"/>
  <c r="W38" i="11" s="1"/>
  <c r="T42" i="11"/>
  <c r="W42" i="11" s="1"/>
  <c r="T9" i="11"/>
  <c r="T11" i="11"/>
  <c r="W11" i="11" s="1"/>
  <c r="T13" i="11"/>
  <c r="W13" i="11" s="1"/>
  <c r="T15" i="11"/>
  <c r="W15" i="11" s="1"/>
  <c r="T17" i="11"/>
  <c r="W17" i="11" s="1"/>
  <c r="T19" i="11"/>
  <c r="W19" i="11" s="1"/>
  <c r="T23" i="11"/>
  <c r="W23" i="11" s="1"/>
  <c r="R8" i="11"/>
  <c r="R22" i="11"/>
  <c r="U22" i="11" s="1"/>
  <c r="R20" i="11"/>
  <c r="U20" i="11" s="1"/>
  <c r="R409" i="12"/>
  <c r="T408" i="12"/>
  <c r="W408" i="12" s="1"/>
  <c r="T389" i="12"/>
  <c r="T393" i="12"/>
  <c r="W393" i="12" s="1"/>
  <c r="T397" i="12"/>
  <c r="W397" i="12" s="1"/>
  <c r="T401" i="12"/>
  <c r="W401" i="12" s="1"/>
  <c r="R388" i="12"/>
  <c r="U388" i="12" s="1"/>
  <c r="R392" i="12"/>
  <c r="U392" i="12" s="1"/>
  <c r="R396" i="12"/>
  <c r="U396" i="12" s="1"/>
  <c r="R400" i="12"/>
  <c r="U400" i="12" s="1"/>
  <c r="T347" i="12"/>
  <c r="R350" i="12"/>
  <c r="U350" i="12" s="1"/>
  <c r="R354" i="12"/>
  <c r="U354" i="12" s="1"/>
  <c r="T357" i="12"/>
  <c r="W357" i="12" s="1"/>
  <c r="R346" i="12"/>
  <c r="U346" i="12" s="1"/>
  <c r="T349" i="12"/>
  <c r="W349" i="12" s="1"/>
  <c r="T353" i="12"/>
  <c r="W353" i="12" s="1"/>
  <c r="W280" i="20"/>
  <c r="T163" i="9"/>
  <c r="W163" i="9" s="1"/>
  <c r="R185" i="9"/>
  <c r="U185" i="9" s="1"/>
  <c r="R206" i="9"/>
  <c r="U206" i="9" s="1"/>
  <c r="T249" i="9"/>
  <c r="W249" i="9" s="1"/>
  <c r="R271" i="9"/>
  <c r="U271" i="9" s="1"/>
  <c r="R292" i="9"/>
  <c r="U292" i="9" s="1"/>
  <c r="R313" i="9"/>
  <c r="U313" i="9" s="1"/>
  <c r="R334" i="9"/>
  <c r="U334" i="9" s="1"/>
  <c r="W222" i="8"/>
  <c r="W184" i="8"/>
  <c r="O196" i="11"/>
  <c r="O70" i="11"/>
  <c r="O28" i="11"/>
  <c r="O322" i="12"/>
  <c r="Q280" i="12"/>
  <c r="R116" i="8"/>
  <c r="U116" i="8" s="1"/>
  <c r="R120" i="8"/>
  <c r="U120" i="8" s="1"/>
  <c r="T127" i="8"/>
  <c r="W127" i="8" s="1"/>
  <c r="T98" i="11"/>
  <c r="W98" i="11" s="1"/>
  <c r="T104" i="11"/>
  <c r="W104" i="11" s="1"/>
  <c r="T136" i="11"/>
  <c r="W136" i="11" s="1"/>
  <c r="T144" i="11"/>
  <c r="W144" i="11" s="1"/>
  <c r="T176" i="11"/>
  <c r="T184" i="11"/>
  <c r="W184" i="11" s="1"/>
  <c r="U368" i="11"/>
  <c r="R372" i="11"/>
  <c r="U372" i="11" s="1"/>
  <c r="R376" i="11"/>
  <c r="U376" i="11" s="1"/>
  <c r="R380" i="11"/>
  <c r="U380" i="11" s="1"/>
  <c r="T390" i="11"/>
  <c r="W390" i="11" s="1"/>
  <c r="R393" i="11"/>
  <c r="U393" i="11" s="1"/>
  <c r="R397" i="11"/>
  <c r="U397" i="11" s="1"/>
  <c r="R401" i="11"/>
  <c r="U401" i="11" s="1"/>
  <c r="T411" i="11"/>
  <c r="T415" i="11"/>
  <c r="W415" i="11" s="1"/>
  <c r="R418" i="11"/>
  <c r="U418" i="11" s="1"/>
  <c r="R422" i="11"/>
  <c r="U422" i="11" s="1"/>
  <c r="T12" i="10"/>
  <c r="T16" i="10"/>
  <c r="W16" i="10" s="1"/>
  <c r="R23" i="10"/>
  <c r="U23" i="10" s="1"/>
  <c r="T33" i="10"/>
  <c r="W33" i="10" s="1"/>
  <c r="R36" i="10"/>
  <c r="U36" i="10" s="1"/>
  <c r="R40" i="10"/>
  <c r="U40" i="10" s="1"/>
  <c r="R44" i="10"/>
  <c r="U44" i="10" s="1"/>
  <c r="T54" i="10"/>
  <c r="R57" i="10"/>
  <c r="U57" i="10" s="1"/>
  <c r="R61" i="10"/>
  <c r="U61" i="10" s="1"/>
  <c r="R65" i="10"/>
  <c r="U65" i="10" s="1"/>
  <c r="R379" i="12"/>
  <c r="U379" i="12" s="1"/>
  <c r="R375" i="12"/>
  <c r="U375" i="12" s="1"/>
  <c r="R371" i="12"/>
  <c r="U371" i="12" s="1"/>
  <c r="R367" i="12"/>
  <c r="R421" i="12"/>
  <c r="U421" i="12" s="1"/>
  <c r="T414" i="12"/>
  <c r="W414" i="12" s="1"/>
  <c r="T410" i="12"/>
  <c r="W410" i="12" s="1"/>
  <c r="R41" i="11"/>
  <c r="U41" i="11" s="1"/>
  <c r="R33" i="11"/>
  <c r="U33" i="11" s="1"/>
  <c r="T84" i="11"/>
  <c r="W84" i="11" s="1"/>
  <c r="R127" i="11"/>
  <c r="U127" i="11" s="1"/>
  <c r="R119" i="11"/>
  <c r="U119" i="11" s="1"/>
  <c r="R169" i="11"/>
  <c r="U169" i="11" s="1"/>
  <c r="R155" i="11"/>
  <c r="R205" i="11"/>
  <c r="U205" i="11" s="1"/>
  <c r="R197" i="11"/>
  <c r="R356" i="12"/>
  <c r="U356" i="12" s="1"/>
  <c r="T399" i="12"/>
  <c r="W399" i="12" s="1"/>
  <c r="T391" i="12"/>
  <c r="W391" i="12" s="1"/>
  <c r="T21" i="11"/>
  <c r="W21" i="11" s="1"/>
  <c r="R12" i="11"/>
  <c r="U12" i="11" s="1"/>
  <c r="T57" i="11"/>
  <c r="W57" i="11" s="1"/>
  <c r="R100" i="11"/>
  <c r="U100" i="11" s="1"/>
  <c r="T143" i="11"/>
  <c r="W143" i="11" s="1"/>
  <c r="T185" i="11"/>
  <c r="W185" i="11" s="1"/>
  <c r="T103" i="10"/>
  <c r="W103" i="10" s="1"/>
  <c r="T183" i="10"/>
  <c r="W183" i="10" s="1"/>
  <c r="T263" i="10"/>
  <c r="W263" i="10" s="1"/>
  <c r="T312" i="10"/>
  <c r="W312" i="10" s="1"/>
  <c r="R334" i="10"/>
  <c r="U334" i="10" s="1"/>
  <c r="T377" i="10"/>
  <c r="W377" i="10" s="1"/>
  <c r="R399" i="10"/>
  <c r="U399" i="10" s="1"/>
  <c r="T421" i="10"/>
  <c r="W421" i="10" s="1"/>
  <c r="R44" i="9"/>
  <c r="U44" i="9" s="1"/>
  <c r="R72" i="9"/>
  <c r="U72" i="9" s="1"/>
  <c r="T94" i="9"/>
  <c r="T115" i="9"/>
  <c r="W115" i="9" s="1"/>
  <c r="R137" i="9"/>
  <c r="U137" i="9" s="1"/>
  <c r="R181" i="9"/>
  <c r="U181" i="9" s="1"/>
  <c r="R202" i="9"/>
  <c r="U202" i="9" s="1"/>
  <c r="T224" i="9"/>
  <c r="W224" i="9" s="1"/>
  <c r="T245" i="9"/>
  <c r="W245" i="9" s="1"/>
  <c r="R267" i="9"/>
  <c r="U267" i="9" s="1"/>
  <c r="R288" i="9"/>
  <c r="U288" i="9" s="1"/>
  <c r="R309" i="9"/>
  <c r="U309" i="9" s="1"/>
  <c r="R330" i="9"/>
  <c r="U330" i="9" s="1"/>
  <c r="T352" i="9"/>
  <c r="T379" i="9"/>
  <c r="W379" i="9" s="1"/>
  <c r="R177" i="8"/>
  <c r="U177" i="8" s="1"/>
  <c r="R80" i="10"/>
  <c r="U80" i="10" s="1"/>
  <c r="R122" i="10"/>
  <c r="U122" i="10" s="1"/>
  <c r="R164" i="10"/>
  <c r="U164" i="10" s="1"/>
  <c r="R206" i="10"/>
  <c r="U206" i="10" s="1"/>
  <c r="R248" i="10"/>
  <c r="U248" i="10" s="1"/>
  <c r="T289" i="10"/>
  <c r="W289" i="10" s="1"/>
  <c r="R107" i="10"/>
  <c r="U107" i="10" s="1"/>
  <c r="R93" i="10"/>
  <c r="R135" i="10"/>
  <c r="R177" i="10"/>
  <c r="R221" i="10"/>
  <c r="U221" i="10" s="1"/>
  <c r="R80" i="8"/>
  <c r="U80" i="8" s="1"/>
  <c r="R84" i="8"/>
  <c r="U84" i="8" s="1"/>
  <c r="R76" i="8"/>
  <c r="U76" i="8" s="1"/>
  <c r="T54" i="8"/>
  <c r="W54" i="8" s="1"/>
  <c r="R57" i="8"/>
  <c r="U57" i="8" s="1"/>
  <c r="U427" i="17"/>
  <c r="T390" i="12"/>
  <c r="W390" i="12" s="1"/>
  <c r="T398" i="12"/>
  <c r="W398" i="12" s="1"/>
  <c r="T10" i="11"/>
  <c r="W10" i="11" s="1"/>
  <c r="T18" i="11"/>
  <c r="W18" i="11" s="1"/>
  <c r="T50" i="11"/>
  <c r="T64" i="11"/>
  <c r="W64" i="11" s="1"/>
  <c r="T96" i="11"/>
  <c r="W96" i="11" s="1"/>
  <c r="T102" i="11"/>
  <c r="W102" i="11" s="1"/>
  <c r="T134" i="11"/>
  <c r="T142" i="11"/>
  <c r="W142" i="11" s="1"/>
  <c r="T182" i="11"/>
  <c r="W182" i="11" s="1"/>
  <c r="T190" i="11"/>
  <c r="W190" i="11" s="1"/>
  <c r="T283" i="11"/>
  <c r="W283" i="11" s="1"/>
  <c r="T287" i="11"/>
  <c r="W287" i="11" s="1"/>
  <c r="T291" i="11"/>
  <c r="W291" i="11" s="1"/>
  <c r="T304" i="11"/>
  <c r="W304" i="11" s="1"/>
  <c r="T308" i="11"/>
  <c r="W308" i="11" s="1"/>
  <c r="T312" i="11"/>
  <c r="W312" i="11" s="1"/>
  <c r="R326" i="11"/>
  <c r="U326" i="11" s="1"/>
  <c r="R330" i="11"/>
  <c r="U330" i="11" s="1"/>
  <c r="T333" i="11"/>
  <c r="R347" i="11"/>
  <c r="U347" i="11" s="1"/>
  <c r="R351" i="11"/>
  <c r="U351" i="11" s="1"/>
  <c r="R355" i="11"/>
  <c r="U355" i="11" s="1"/>
  <c r="T367" i="11"/>
  <c r="T371" i="11"/>
  <c r="W371" i="11" s="1"/>
  <c r="T375" i="11"/>
  <c r="W375" i="11" s="1"/>
  <c r="R389" i="11"/>
  <c r="T396" i="11"/>
  <c r="W396" i="11" s="1"/>
  <c r="R410" i="11"/>
  <c r="U410" i="11" s="1"/>
  <c r="R414" i="11"/>
  <c r="U414" i="11" s="1"/>
  <c r="T421" i="11"/>
  <c r="W421" i="11" s="1"/>
  <c r="R11" i="10"/>
  <c r="R15" i="10"/>
  <c r="U15" i="10" s="1"/>
  <c r="R19" i="10"/>
  <c r="U19" i="10" s="1"/>
  <c r="R32" i="10"/>
  <c r="U32" i="10" s="1"/>
  <c r="T35" i="10"/>
  <c r="W35" i="10" s="1"/>
  <c r="T39" i="10"/>
  <c r="W39" i="10" s="1"/>
  <c r="R53" i="10"/>
  <c r="U53" i="10" s="1"/>
  <c r="T60" i="10"/>
  <c r="W60" i="10" s="1"/>
  <c r="T315" i="12"/>
  <c r="W315" i="12" s="1"/>
  <c r="T311" i="12"/>
  <c r="W311" i="12" s="1"/>
  <c r="R307" i="12"/>
  <c r="R294" i="12"/>
  <c r="U294" i="12" s="1"/>
  <c r="T291" i="12"/>
  <c r="W291" i="12" s="1"/>
  <c r="T287" i="12"/>
  <c r="R337" i="12"/>
  <c r="U337" i="12" s="1"/>
  <c r="R333" i="12"/>
  <c r="T330" i="12"/>
  <c r="W330" i="12" s="1"/>
  <c r="T380" i="12"/>
  <c r="W380" i="12" s="1"/>
  <c r="T376" i="12"/>
  <c r="W376" i="12" s="1"/>
  <c r="T372" i="12"/>
  <c r="W372" i="12" s="1"/>
  <c r="T422" i="12"/>
  <c r="W422" i="12" s="1"/>
  <c r="T418" i="12"/>
  <c r="W418" i="12" s="1"/>
  <c r="R415" i="12"/>
  <c r="U415" i="12" s="1"/>
  <c r="R411" i="12"/>
  <c r="U411" i="12" s="1"/>
  <c r="T44" i="11"/>
  <c r="W44" i="11" s="1"/>
  <c r="T36" i="11"/>
  <c r="W36" i="11" s="1"/>
  <c r="R29" i="11"/>
  <c r="U29" i="11" s="1"/>
  <c r="R79" i="11"/>
  <c r="U79" i="11" s="1"/>
  <c r="T72" i="11"/>
  <c r="T122" i="11"/>
  <c r="W122" i="11" s="1"/>
  <c r="T114" i="11"/>
  <c r="R165" i="11"/>
  <c r="U165" i="11" s="1"/>
  <c r="T158" i="11"/>
  <c r="W158" i="11" s="1"/>
  <c r="T208" i="11"/>
  <c r="W208" i="11" s="1"/>
  <c r="T200" i="11"/>
  <c r="W200" i="11" s="1"/>
  <c r="R251" i="11"/>
  <c r="U251" i="11" s="1"/>
  <c r="R358" i="12"/>
  <c r="U358" i="12" s="1"/>
  <c r="T351" i="12"/>
  <c r="W351" i="12" s="1"/>
  <c r="R344" i="12"/>
  <c r="R394" i="12"/>
  <c r="U394" i="12" s="1"/>
  <c r="R386" i="12"/>
  <c r="U386" i="12" s="1"/>
  <c r="R14" i="11"/>
  <c r="U14" i="11" s="1"/>
  <c r="T61" i="11"/>
  <c r="W61" i="11" s="1"/>
  <c r="T103" i="11"/>
  <c r="W103" i="11" s="1"/>
  <c r="T147" i="11"/>
  <c r="W147" i="11" s="1"/>
  <c r="T189" i="11"/>
  <c r="W189" i="11" s="1"/>
  <c r="T95" i="10"/>
  <c r="W95" i="10" s="1"/>
  <c r="T231" i="10"/>
  <c r="W231" i="10" s="1"/>
  <c r="R124" i="8"/>
  <c r="U124" i="8" s="1"/>
  <c r="R32" i="8"/>
  <c r="U32" i="8" s="1"/>
  <c r="R36" i="8"/>
  <c r="U36" i="8" s="1"/>
  <c r="R44" i="8"/>
  <c r="U44" i="8" s="1"/>
  <c r="T10" i="8"/>
  <c r="W10" i="8" s="1"/>
  <c r="T16" i="8"/>
  <c r="W16" i="8" s="1"/>
  <c r="T421" i="9"/>
  <c r="W421" i="9" s="1"/>
  <c r="T409" i="9"/>
  <c r="W409" i="9" s="1"/>
  <c r="T417" i="9"/>
  <c r="W417" i="9" s="1"/>
  <c r="T400" i="9"/>
  <c r="W400" i="9" s="1"/>
  <c r="R391" i="9"/>
  <c r="U391" i="9" s="1"/>
  <c r="T394" i="9"/>
  <c r="W394" i="9" s="1"/>
  <c r="T398" i="9"/>
  <c r="T388" i="9"/>
  <c r="W388" i="9" s="1"/>
  <c r="T375" i="9"/>
  <c r="W375" i="9" s="1"/>
  <c r="T367" i="9"/>
  <c r="W367" i="9" s="1"/>
  <c r="R378" i="9"/>
  <c r="U378" i="9" s="1"/>
  <c r="R370" i="9"/>
  <c r="U370" i="9" s="1"/>
  <c r="R374" i="9"/>
  <c r="U374" i="9" s="1"/>
  <c r="R366" i="9"/>
  <c r="U366" i="9" s="1"/>
  <c r="R357" i="9"/>
  <c r="U357" i="9" s="1"/>
  <c r="T354" i="9"/>
  <c r="W354" i="9" s="1"/>
  <c r="T350" i="9"/>
  <c r="W350" i="9" s="1"/>
  <c r="T346" i="9"/>
  <c r="T358" i="9"/>
  <c r="W358" i="9" s="1"/>
  <c r="R355" i="9"/>
  <c r="R351" i="9"/>
  <c r="U351" i="9" s="1"/>
  <c r="R347" i="9"/>
  <c r="U347" i="9" s="1"/>
  <c r="T356" i="9"/>
  <c r="W356" i="9" s="1"/>
  <c r="R353" i="9"/>
  <c r="U353" i="9" s="1"/>
  <c r="R349" i="9"/>
  <c r="U349" i="9" s="1"/>
  <c r="R345" i="9"/>
  <c r="U345" i="9" s="1"/>
  <c r="R336" i="9"/>
  <c r="U336" i="9" s="1"/>
  <c r="R332" i="9"/>
  <c r="U332" i="9" s="1"/>
  <c r="R328" i="9"/>
  <c r="U328" i="9" s="1"/>
  <c r="R324" i="9"/>
  <c r="T337" i="9"/>
  <c r="W337" i="9" s="1"/>
  <c r="T333" i="9"/>
  <c r="W333" i="9" s="1"/>
  <c r="T329" i="9"/>
  <c r="W329" i="9" s="1"/>
  <c r="T325" i="9"/>
  <c r="W325" i="9" s="1"/>
  <c r="T335" i="9"/>
  <c r="W335" i="9" s="1"/>
  <c r="T331" i="9"/>
  <c r="W331" i="9" s="1"/>
  <c r="T327" i="9"/>
  <c r="W327" i="9" s="1"/>
  <c r="R315" i="9"/>
  <c r="U315" i="9" s="1"/>
  <c r="R311" i="9"/>
  <c r="U311" i="9" s="1"/>
  <c r="R307" i="9"/>
  <c r="U307" i="9" s="1"/>
  <c r="T304" i="9"/>
  <c r="T312" i="9"/>
  <c r="W312" i="9" s="1"/>
  <c r="T308" i="9"/>
  <c r="W308" i="9" s="1"/>
  <c r="R317" i="9"/>
  <c r="U317" i="9" s="1"/>
  <c r="T314" i="9"/>
  <c r="W314" i="9" s="1"/>
  <c r="T310" i="9"/>
  <c r="W310" i="9" s="1"/>
  <c r="T306" i="9"/>
  <c r="W306" i="9" s="1"/>
  <c r="R303" i="9"/>
  <c r="U303" i="9" s="1"/>
  <c r="R294" i="9"/>
  <c r="U294" i="9" s="1"/>
  <c r="R290" i="9"/>
  <c r="U290" i="9" s="1"/>
  <c r="R286" i="9"/>
  <c r="U286" i="9" s="1"/>
  <c r="R282" i="9"/>
  <c r="T295" i="9"/>
  <c r="W295" i="9" s="1"/>
  <c r="T291" i="9"/>
  <c r="W291" i="9" s="1"/>
  <c r="T287" i="9"/>
  <c r="W287" i="9" s="1"/>
  <c r="T283" i="9"/>
  <c r="W283" i="9" s="1"/>
  <c r="T293" i="9"/>
  <c r="W293" i="9" s="1"/>
  <c r="T289" i="9"/>
  <c r="W289" i="9" s="1"/>
  <c r="T285" i="9"/>
  <c r="W285" i="9" s="1"/>
  <c r="R273" i="9"/>
  <c r="U273" i="9" s="1"/>
  <c r="R269" i="9"/>
  <c r="U269" i="9" s="1"/>
  <c r="R265" i="9"/>
  <c r="U265" i="9" s="1"/>
  <c r="R261" i="9"/>
  <c r="U261" i="9" s="1"/>
  <c r="T270" i="9"/>
  <c r="W270" i="9" s="1"/>
  <c r="T266" i="9"/>
  <c r="W266" i="9" s="1"/>
  <c r="T262" i="9"/>
  <c r="R275" i="9"/>
  <c r="U275" i="9" s="1"/>
  <c r="T272" i="9"/>
  <c r="W272" i="9" s="1"/>
  <c r="T268" i="9"/>
  <c r="W268" i="9" s="1"/>
  <c r="T264" i="9"/>
  <c r="W264" i="9" s="1"/>
  <c r="T251" i="9"/>
  <c r="W251" i="9" s="1"/>
  <c r="T247" i="9"/>
  <c r="W247" i="9" s="1"/>
  <c r="T243" i="9"/>
  <c r="W243" i="9" s="1"/>
  <c r="R252" i="9"/>
  <c r="U252" i="9" s="1"/>
  <c r="R248" i="9"/>
  <c r="U248" i="9" s="1"/>
  <c r="R244" i="9"/>
  <c r="U244" i="9" s="1"/>
  <c r="R240" i="9"/>
  <c r="U240" i="9" s="1"/>
  <c r="R254" i="9"/>
  <c r="U254" i="9" s="1"/>
  <c r="R250" i="9"/>
  <c r="U250" i="9" s="1"/>
  <c r="R246" i="9"/>
  <c r="U246" i="9" s="1"/>
  <c r="R242" i="9"/>
  <c r="U242" i="9" s="1"/>
  <c r="R233" i="9"/>
  <c r="U233" i="9" s="1"/>
  <c r="R229" i="9"/>
  <c r="U229" i="9" s="1"/>
  <c r="T226" i="9"/>
  <c r="W226" i="9" s="1"/>
  <c r="T222" i="9"/>
  <c r="T230" i="9"/>
  <c r="W230" i="9" s="1"/>
  <c r="R227" i="9"/>
  <c r="U227" i="9" s="1"/>
  <c r="R223" i="9"/>
  <c r="U223" i="9" s="1"/>
  <c r="R219" i="9"/>
  <c r="U219" i="9" s="1"/>
  <c r="T232" i="9"/>
  <c r="W232" i="9" s="1"/>
  <c r="T228" i="9"/>
  <c r="W228" i="9" s="1"/>
  <c r="R225" i="9"/>
  <c r="U225" i="9" s="1"/>
  <c r="R221" i="9"/>
  <c r="U221" i="9" s="1"/>
  <c r="R212" i="9"/>
  <c r="U212" i="9" s="1"/>
  <c r="R208" i="9"/>
  <c r="U208" i="9" s="1"/>
  <c r="R204" i="9"/>
  <c r="U204" i="9" s="1"/>
  <c r="R200" i="9"/>
  <c r="T209" i="9"/>
  <c r="W209" i="9" s="1"/>
  <c r="T205" i="9"/>
  <c r="W205" i="9" s="1"/>
  <c r="T201" i="9"/>
  <c r="W201" i="9" s="1"/>
  <c r="T211" i="9"/>
  <c r="W211" i="9" s="1"/>
  <c r="T207" i="9"/>
  <c r="W207" i="9" s="1"/>
  <c r="T203" i="9"/>
  <c r="W203" i="9" s="1"/>
  <c r="T199" i="9"/>
  <c r="T190" i="9"/>
  <c r="W190" i="9" s="1"/>
  <c r="R183" i="9"/>
  <c r="U183" i="9" s="1"/>
  <c r="R179" i="9"/>
  <c r="U179" i="9" s="1"/>
  <c r="R191" i="9"/>
  <c r="U191" i="9" s="1"/>
  <c r="R187" i="9"/>
  <c r="U187" i="9" s="1"/>
  <c r="T184" i="9"/>
  <c r="W184" i="9" s="1"/>
  <c r="T180" i="9"/>
  <c r="W180" i="9" s="1"/>
  <c r="R189" i="9"/>
  <c r="U189" i="9" s="1"/>
  <c r="T186" i="9"/>
  <c r="W186" i="9" s="1"/>
  <c r="T182" i="9"/>
  <c r="W182" i="9" s="1"/>
  <c r="T178" i="9"/>
  <c r="T169" i="9"/>
  <c r="W169" i="9" s="1"/>
  <c r="T165" i="9"/>
  <c r="W165" i="9" s="1"/>
  <c r="T161" i="9"/>
  <c r="W161" i="9" s="1"/>
  <c r="T157" i="9"/>
  <c r="R170" i="9"/>
  <c r="U170" i="9" s="1"/>
  <c r="R166" i="9"/>
  <c r="U166" i="9" s="1"/>
  <c r="R162" i="9"/>
  <c r="U162" i="9" s="1"/>
  <c r="R158" i="9"/>
  <c r="U158" i="9" s="1"/>
  <c r="R168" i="9"/>
  <c r="U168" i="9" s="1"/>
  <c r="R164" i="9"/>
  <c r="U164" i="9" s="1"/>
  <c r="R160" i="9"/>
  <c r="U160" i="9" s="1"/>
  <c r="R156" i="9"/>
  <c r="U156" i="9" s="1"/>
  <c r="R147" i="9"/>
  <c r="U147" i="9" s="1"/>
  <c r="R143" i="9"/>
  <c r="U143" i="9" s="1"/>
  <c r="R139" i="9"/>
  <c r="U139" i="9" s="1"/>
  <c r="R135" i="9"/>
  <c r="U135" i="9" s="1"/>
  <c r="T148" i="9"/>
  <c r="W148" i="9" s="1"/>
  <c r="T144" i="9"/>
  <c r="W144" i="9" s="1"/>
  <c r="T140" i="9"/>
  <c r="W140" i="9" s="1"/>
  <c r="T136" i="9"/>
  <c r="T146" i="9"/>
  <c r="W146" i="9" s="1"/>
  <c r="T142" i="9"/>
  <c r="W142" i="9" s="1"/>
  <c r="T138" i="9"/>
  <c r="W138" i="9" s="1"/>
  <c r="T125" i="9"/>
  <c r="W125" i="9" s="1"/>
  <c r="T121" i="9"/>
  <c r="W121" i="9" s="1"/>
  <c r="T117" i="9"/>
  <c r="W117" i="9" s="1"/>
  <c r="R126" i="9"/>
  <c r="U126" i="9" s="1"/>
  <c r="R122" i="9"/>
  <c r="U122" i="9" s="1"/>
  <c r="R118" i="9"/>
  <c r="U118" i="9" s="1"/>
  <c r="R114" i="9"/>
  <c r="R128" i="9"/>
  <c r="U128" i="9" s="1"/>
  <c r="R124" i="9"/>
  <c r="U124" i="9" s="1"/>
  <c r="R120" i="9"/>
  <c r="U120" i="9" s="1"/>
  <c r="R116" i="9"/>
  <c r="U116" i="9" s="1"/>
  <c r="R107" i="9"/>
  <c r="U107" i="9" s="1"/>
  <c r="R103" i="9"/>
  <c r="U103" i="9" s="1"/>
  <c r="T96" i="9"/>
  <c r="W96" i="9" s="1"/>
  <c r="T104" i="9"/>
  <c r="W104" i="9" s="1"/>
  <c r="T100" i="9"/>
  <c r="W100" i="9" s="1"/>
  <c r="R97" i="9"/>
  <c r="U97" i="9" s="1"/>
  <c r="R93" i="9"/>
  <c r="U93" i="9" s="1"/>
  <c r="T106" i="9"/>
  <c r="W106" i="9" s="1"/>
  <c r="T102" i="9"/>
  <c r="W102" i="9" s="1"/>
  <c r="R99" i="9"/>
  <c r="U99" i="9" s="1"/>
  <c r="R95" i="9"/>
  <c r="U95" i="9" s="1"/>
  <c r="R86" i="9"/>
  <c r="U86" i="9" s="1"/>
  <c r="R82" i="9"/>
  <c r="U82" i="9" s="1"/>
  <c r="R78" i="9"/>
  <c r="U78" i="9" s="1"/>
  <c r="R74" i="9"/>
  <c r="U74" i="9" s="1"/>
  <c r="T83" i="9"/>
  <c r="W83" i="9" s="1"/>
  <c r="T79" i="9"/>
  <c r="W79" i="9" s="1"/>
  <c r="T75" i="9"/>
  <c r="W75" i="9" s="1"/>
  <c r="T85" i="9"/>
  <c r="W85" i="9" s="1"/>
  <c r="T81" i="9"/>
  <c r="W81" i="9" s="1"/>
  <c r="T77" i="9"/>
  <c r="W77" i="9" s="1"/>
  <c r="T73" i="9"/>
  <c r="W73" i="9" s="1"/>
  <c r="T64" i="9"/>
  <c r="W64" i="9" s="1"/>
  <c r="T60" i="9"/>
  <c r="W60" i="9" s="1"/>
  <c r="T56" i="9"/>
  <c r="W56" i="9" s="1"/>
  <c r="T52" i="9"/>
  <c r="W52" i="9" s="1"/>
  <c r="R65" i="9"/>
  <c r="U65" i="9" s="1"/>
  <c r="R61" i="9"/>
  <c r="U61" i="9" s="1"/>
  <c r="R57" i="9"/>
  <c r="U57" i="9" s="1"/>
  <c r="R53" i="9"/>
  <c r="U53" i="9" s="1"/>
  <c r="R63" i="9"/>
  <c r="U63" i="9" s="1"/>
  <c r="R59" i="9"/>
  <c r="U59" i="9" s="1"/>
  <c r="R55" i="9"/>
  <c r="U55" i="9" s="1"/>
  <c r="R51" i="9"/>
  <c r="U51" i="9" s="1"/>
  <c r="R42" i="9"/>
  <c r="U42" i="9" s="1"/>
  <c r="R38" i="9"/>
  <c r="U38" i="9" s="1"/>
  <c r="R34" i="9"/>
  <c r="U34" i="9" s="1"/>
  <c r="R30" i="9"/>
  <c r="U30" i="9" s="1"/>
  <c r="T43" i="9"/>
  <c r="W43" i="9" s="1"/>
  <c r="T39" i="9"/>
  <c r="W39" i="9" s="1"/>
  <c r="T35" i="9"/>
  <c r="W35" i="9" s="1"/>
  <c r="T31" i="9"/>
  <c r="T41" i="9"/>
  <c r="W41" i="9" s="1"/>
  <c r="T37" i="9"/>
  <c r="W37" i="9" s="1"/>
  <c r="T33" i="9"/>
  <c r="W33" i="9" s="1"/>
  <c r="R21" i="9"/>
  <c r="U21" i="9" s="1"/>
  <c r="R17" i="9"/>
  <c r="U17" i="9" s="1"/>
  <c r="R13" i="9"/>
  <c r="U13" i="9" s="1"/>
  <c r="R9" i="9"/>
  <c r="T22" i="9"/>
  <c r="W22" i="9" s="1"/>
  <c r="T18" i="9"/>
  <c r="W18" i="9" s="1"/>
  <c r="T14" i="9"/>
  <c r="W14" i="9" s="1"/>
  <c r="T10" i="9"/>
  <c r="W10" i="9" s="1"/>
  <c r="R23" i="9"/>
  <c r="U23" i="9" s="1"/>
  <c r="T20" i="9"/>
  <c r="W20" i="9" s="1"/>
  <c r="T16" i="9"/>
  <c r="W16" i="9" s="1"/>
  <c r="T12" i="9"/>
  <c r="W12" i="9" s="1"/>
  <c r="T419" i="10"/>
  <c r="W419" i="10" s="1"/>
  <c r="T415" i="10"/>
  <c r="W415" i="10" s="1"/>
  <c r="T411" i="10"/>
  <c r="R420" i="10"/>
  <c r="U420" i="10" s="1"/>
  <c r="R416" i="10"/>
  <c r="U416" i="10" s="1"/>
  <c r="R412" i="10"/>
  <c r="U412" i="10" s="1"/>
  <c r="R408" i="10"/>
  <c r="U408" i="10" s="1"/>
  <c r="R422" i="10"/>
  <c r="U422" i="10" s="1"/>
  <c r="R418" i="10"/>
  <c r="U418" i="10" s="1"/>
  <c r="R414" i="10"/>
  <c r="U414" i="10" s="1"/>
  <c r="R410" i="10"/>
  <c r="U410" i="10" s="1"/>
  <c r="R401" i="10"/>
  <c r="U401" i="10" s="1"/>
  <c r="R397" i="10"/>
  <c r="U397" i="10" s="1"/>
  <c r="R393" i="10"/>
  <c r="U393" i="10" s="1"/>
  <c r="R389" i="10"/>
  <c r="U389" i="10" s="1"/>
  <c r="T398" i="10"/>
  <c r="W398" i="10" s="1"/>
  <c r="T394" i="10"/>
  <c r="W394" i="10" s="1"/>
  <c r="T390" i="10"/>
  <c r="W390" i="10" s="1"/>
  <c r="T400" i="10"/>
  <c r="W400" i="10" s="1"/>
  <c r="T396" i="10"/>
  <c r="W396" i="10" s="1"/>
  <c r="T392" i="10"/>
  <c r="W392" i="10" s="1"/>
  <c r="T388" i="10"/>
  <c r="W388" i="10" s="1"/>
  <c r="T379" i="10"/>
  <c r="W379" i="10" s="1"/>
  <c r="T375" i="10"/>
  <c r="W375" i="10" s="1"/>
  <c r="T371" i="10"/>
  <c r="W371" i="10" s="1"/>
  <c r="T367" i="10"/>
  <c r="R380" i="10"/>
  <c r="U380" i="10" s="1"/>
  <c r="R376" i="10"/>
  <c r="U376" i="10" s="1"/>
  <c r="R372" i="10"/>
  <c r="U372" i="10" s="1"/>
  <c r="R368" i="10"/>
  <c r="U368" i="10" s="1"/>
  <c r="R378" i="10"/>
  <c r="U378" i="10" s="1"/>
  <c r="R374" i="10"/>
  <c r="U374" i="10" s="1"/>
  <c r="R370" i="10"/>
  <c r="U370" i="10" s="1"/>
  <c r="R366" i="10"/>
  <c r="U366" i="10" s="1"/>
  <c r="R357" i="10"/>
  <c r="U357" i="10" s="1"/>
  <c r="R353" i="10"/>
  <c r="U353" i="10" s="1"/>
  <c r="T350" i="10"/>
  <c r="W350" i="10" s="1"/>
  <c r="T346" i="10"/>
  <c r="T358" i="10"/>
  <c r="W358" i="10" s="1"/>
  <c r="T354" i="10"/>
  <c r="W354" i="10" s="1"/>
  <c r="R351" i="10"/>
  <c r="U351" i="10" s="1"/>
  <c r="R347" i="10"/>
  <c r="U347" i="10" s="1"/>
  <c r="T356" i="10"/>
  <c r="W356" i="10" s="1"/>
  <c r="T352" i="10"/>
  <c r="W352" i="10" s="1"/>
  <c r="R349" i="10"/>
  <c r="U349" i="10" s="1"/>
  <c r="R345" i="10"/>
  <c r="U345" i="10" s="1"/>
  <c r="R336" i="10"/>
  <c r="U336" i="10" s="1"/>
  <c r="R332" i="10"/>
  <c r="U332" i="10" s="1"/>
  <c r="R328" i="10"/>
  <c r="U328" i="10" s="1"/>
  <c r="R324" i="10"/>
  <c r="U324" i="10" s="1"/>
  <c r="T337" i="10"/>
  <c r="W337" i="10" s="1"/>
  <c r="T333" i="10"/>
  <c r="W333" i="10" s="1"/>
  <c r="T329" i="10"/>
  <c r="W329" i="10" s="1"/>
  <c r="T325" i="10"/>
  <c r="W325" i="10" s="1"/>
  <c r="T335" i="10"/>
  <c r="W335" i="10" s="1"/>
  <c r="T331" i="10"/>
  <c r="W331" i="10" s="1"/>
  <c r="T327" i="10"/>
  <c r="W327" i="10" s="1"/>
  <c r="T314" i="10"/>
  <c r="W314" i="10" s="1"/>
  <c r="T310" i="10"/>
  <c r="W310" i="10" s="1"/>
  <c r="T306" i="10"/>
  <c r="W306" i="10" s="1"/>
  <c r="R315" i="10"/>
  <c r="U315" i="10" s="1"/>
  <c r="R311" i="10"/>
  <c r="U311" i="10" s="1"/>
  <c r="R307" i="10"/>
  <c r="U307" i="10" s="1"/>
  <c r="R303" i="10"/>
  <c r="R317" i="10"/>
  <c r="U317" i="10" s="1"/>
  <c r="R313" i="10"/>
  <c r="U313" i="10" s="1"/>
  <c r="R309" i="10"/>
  <c r="U309" i="10" s="1"/>
  <c r="R305" i="10"/>
  <c r="U305" i="10" s="1"/>
  <c r="T286" i="10"/>
  <c r="T287" i="10"/>
  <c r="W287" i="10" s="1"/>
  <c r="T291" i="10"/>
  <c r="W291" i="10" s="1"/>
  <c r="T295" i="10"/>
  <c r="W295" i="10" s="1"/>
  <c r="T283" i="10"/>
  <c r="W283" i="10" s="1"/>
  <c r="R286" i="10"/>
  <c r="U286" i="10" s="1"/>
  <c r="R290" i="10"/>
  <c r="U290" i="10" s="1"/>
  <c r="R294" i="10"/>
  <c r="U294" i="10" s="1"/>
  <c r="T281" i="10"/>
  <c r="W281" i="10" s="1"/>
  <c r="R284" i="10"/>
  <c r="R288" i="10"/>
  <c r="U288" i="10" s="1"/>
  <c r="R292" i="10"/>
  <c r="U292" i="10" s="1"/>
  <c r="T262" i="10"/>
  <c r="W262" i="10" s="1"/>
  <c r="R265" i="10"/>
  <c r="U265" i="10" s="1"/>
  <c r="R269" i="10"/>
  <c r="U269" i="10" s="1"/>
  <c r="R273" i="10"/>
  <c r="U273" i="10" s="1"/>
  <c r="T275" i="10"/>
  <c r="W275" i="10" s="1"/>
  <c r="T267" i="10"/>
  <c r="W267" i="10" s="1"/>
  <c r="R261" i="10"/>
  <c r="T264" i="10"/>
  <c r="W264" i="10" s="1"/>
  <c r="T268" i="10"/>
  <c r="W268" i="10" s="1"/>
  <c r="T272" i="10"/>
  <c r="W272" i="10" s="1"/>
  <c r="T269" i="10"/>
  <c r="W269" i="10" s="1"/>
  <c r="T261" i="10"/>
  <c r="R263" i="10"/>
  <c r="U263" i="10" s="1"/>
  <c r="T266" i="10"/>
  <c r="W266" i="10" s="1"/>
  <c r="T270" i="10"/>
  <c r="W270" i="10" s="1"/>
  <c r="T274" i="10"/>
  <c r="W274" i="10" s="1"/>
  <c r="T273" i="10"/>
  <c r="W273" i="10" s="1"/>
  <c r="T265" i="10"/>
  <c r="W265" i="10" s="1"/>
  <c r="R242" i="10"/>
  <c r="R246" i="10"/>
  <c r="U246" i="10" s="1"/>
  <c r="R250" i="10"/>
  <c r="U250" i="10" s="1"/>
  <c r="R254" i="10"/>
  <c r="U254" i="10" s="1"/>
  <c r="T241" i="10"/>
  <c r="W241" i="10" s="1"/>
  <c r="T245" i="10"/>
  <c r="W245" i="10" s="1"/>
  <c r="T249" i="10"/>
  <c r="W249" i="10" s="1"/>
  <c r="T253" i="10"/>
  <c r="W253" i="10" s="1"/>
  <c r="T239" i="10"/>
  <c r="T243" i="10"/>
  <c r="W243" i="10" s="1"/>
  <c r="T247" i="10"/>
  <c r="W247" i="10" s="1"/>
  <c r="T251" i="10"/>
  <c r="W251" i="10" s="1"/>
  <c r="R219" i="10"/>
  <c r="R223" i="10"/>
  <c r="U223" i="10" s="1"/>
  <c r="R229" i="10"/>
  <c r="U229" i="10" s="1"/>
  <c r="R233" i="10"/>
  <c r="U233" i="10" s="1"/>
  <c r="T227" i="10"/>
  <c r="W227" i="10" s="1"/>
  <c r="T219" i="10"/>
  <c r="W219" i="10" s="1"/>
  <c r="T218" i="10"/>
  <c r="T222" i="10"/>
  <c r="W222" i="10" s="1"/>
  <c r="R225" i="10"/>
  <c r="U225" i="10" s="1"/>
  <c r="T228" i="10"/>
  <c r="W228" i="10" s="1"/>
  <c r="T232" i="10"/>
  <c r="W232" i="10" s="1"/>
  <c r="T229" i="10"/>
  <c r="W229" i="10" s="1"/>
  <c r="T221" i="10"/>
  <c r="W221" i="10" s="1"/>
  <c r="T220" i="10"/>
  <c r="W220" i="10" s="1"/>
  <c r="T226" i="10"/>
  <c r="W226" i="10" s="1"/>
  <c r="T230" i="10"/>
  <c r="W230" i="10" s="1"/>
  <c r="T233" i="10"/>
  <c r="W233" i="10" s="1"/>
  <c r="T225" i="10"/>
  <c r="W225" i="10" s="1"/>
  <c r="R200" i="10"/>
  <c r="R204" i="10"/>
  <c r="U204" i="10" s="1"/>
  <c r="R208" i="10"/>
  <c r="U208" i="10" s="1"/>
  <c r="R212" i="10"/>
  <c r="U212" i="10" s="1"/>
  <c r="T199" i="10"/>
  <c r="W199" i="10" s="1"/>
  <c r="T203" i="10"/>
  <c r="W203" i="10" s="1"/>
  <c r="T207" i="10"/>
  <c r="W207" i="10" s="1"/>
  <c r="T211" i="10"/>
  <c r="W211" i="10" s="1"/>
  <c r="T197" i="10"/>
  <c r="T201" i="10"/>
  <c r="W201" i="10" s="1"/>
  <c r="T205" i="10"/>
  <c r="W205" i="10" s="1"/>
  <c r="T209" i="10"/>
  <c r="W209" i="10" s="1"/>
  <c r="R179" i="10"/>
  <c r="U179" i="10" s="1"/>
  <c r="R183" i="10"/>
  <c r="U183" i="10" s="1"/>
  <c r="R187" i="10"/>
  <c r="U187" i="10" s="1"/>
  <c r="R191" i="10"/>
  <c r="U191" i="10" s="1"/>
  <c r="T187" i="10"/>
  <c r="W187" i="10" s="1"/>
  <c r="T179" i="10"/>
  <c r="W179" i="10" s="1"/>
  <c r="T178" i="10"/>
  <c r="W178" i="10" s="1"/>
  <c r="T182" i="10"/>
  <c r="W182" i="10" s="1"/>
  <c r="T186" i="10"/>
  <c r="W186" i="10" s="1"/>
  <c r="T190" i="10"/>
  <c r="W190" i="10" s="1"/>
  <c r="T189" i="10"/>
  <c r="W189" i="10" s="1"/>
  <c r="T181" i="10"/>
  <c r="W181" i="10" s="1"/>
  <c r="T176" i="10"/>
  <c r="T180" i="10"/>
  <c r="W180" i="10" s="1"/>
  <c r="T184" i="10"/>
  <c r="W184" i="10" s="1"/>
  <c r="T188" i="10"/>
  <c r="W188" i="10" s="1"/>
  <c r="T185" i="10"/>
  <c r="W185" i="10" s="1"/>
  <c r="T177" i="10"/>
  <c r="W177" i="10" s="1"/>
  <c r="R158" i="10"/>
  <c r="R162" i="10"/>
  <c r="U162" i="10" s="1"/>
  <c r="R166" i="10"/>
  <c r="U166" i="10" s="1"/>
  <c r="R170" i="10"/>
  <c r="U170" i="10" s="1"/>
  <c r="T157" i="10"/>
  <c r="W157" i="10" s="1"/>
  <c r="T161" i="10"/>
  <c r="W161" i="10" s="1"/>
  <c r="T165" i="10"/>
  <c r="W165" i="10" s="1"/>
  <c r="T169" i="10"/>
  <c r="W169" i="10" s="1"/>
  <c r="T155" i="10"/>
  <c r="T159" i="10"/>
  <c r="W159" i="10" s="1"/>
  <c r="T163" i="10"/>
  <c r="W163" i="10" s="1"/>
  <c r="T167" i="10"/>
  <c r="W167" i="10" s="1"/>
  <c r="R137" i="10"/>
  <c r="U137" i="10" s="1"/>
  <c r="R141" i="10"/>
  <c r="U141" i="10" s="1"/>
  <c r="R145" i="10"/>
  <c r="U145" i="10" s="1"/>
  <c r="R149" i="10"/>
  <c r="U149" i="10" s="1"/>
  <c r="T147" i="10"/>
  <c r="W147" i="10" s="1"/>
  <c r="T139" i="10"/>
  <c r="W139" i="10" s="1"/>
  <c r="T136" i="10"/>
  <c r="W136" i="10" s="1"/>
  <c r="T140" i="10"/>
  <c r="W140" i="10" s="1"/>
  <c r="T144" i="10"/>
  <c r="W144" i="10" s="1"/>
  <c r="T148" i="10"/>
  <c r="W148" i="10" s="1"/>
  <c r="T149" i="10"/>
  <c r="W149" i="10" s="1"/>
  <c r="T141" i="10"/>
  <c r="W141" i="10" s="1"/>
  <c r="T134" i="10"/>
  <c r="T138" i="10"/>
  <c r="W138" i="10" s="1"/>
  <c r="T142" i="10"/>
  <c r="W142" i="10" s="1"/>
  <c r="T146" i="10"/>
  <c r="W146" i="10" s="1"/>
  <c r="T145" i="10"/>
  <c r="W145" i="10" s="1"/>
  <c r="T137" i="10"/>
  <c r="W137" i="10" s="1"/>
  <c r="R116" i="10"/>
  <c r="R120" i="10"/>
  <c r="U120" i="10" s="1"/>
  <c r="R124" i="10"/>
  <c r="U124" i="10" s="1"/>
  <c r="R128" i="10"/>
  <c r="U128" i="10" s="1"/>
  <c r="T115" i="10"/>
  <c r="W115" i="10" s="1"/>
  <c r="T119" i="10"/>
  <c r="W119" i="10" s="1"/>
  <c r="T123" i="10"/>
  <c r="W123" i="10" s="1"/>
  <c r="T127" i="10"/>
  <c r="W127" i="10" s="1"/>
  <c r="T113" i="10"/>
  <c r="W113" i="10" s="1"/>
  <c r="T117" i="10"/>
  <c r="W117" i="10" s="1"/>
  <c r="T121" i="10"/>
  <c r="W121" i="10" s="1"/>
  <c r="T125" i="10"/>
  <c r="W125" i="10" s="1"/>
  <c r="R95" i="10"/>
  <c r="U95" i="10" s="1"/>
  <c r="R99" i="10"/>
  <c r="U99" i="10" s="1"/>
  <c r="T102" i="10"/>
  <c r="W102" i="10" s="1"/>
  <c r="T107" i="10"/>
  <c r="W107" i="10" s="1"/>
  <c r="T99" i="10"/>
  <c r="W99" i="10" s="1"/>
  <c r="T94" i="10"/>
  <c r="W94" i="10" s="1"/>
  <c r="T98" i="10"/>
  <c r="W98" i="10" s="1"/>
  <c r="R101" i="10"/>
  <c r="U101" i="10" s="1"/>
  <c r="R105" i="10"/>
  <c r="U105" i="10" s="1"/>
  <c r="T101" i="10"/>
  <c r="W101" i="10" s="1"/>
  <c r="T93" i="10"/>
  <c r="W93" i="10" s="1"/>
  <c r="T92" i="10"/>
  <c r="T96" i="10"/>
  <c r="W96" i="10" s="1"/>
  <c r="R103" i="10"/>
  <c r="U103" i="10" s="1"/>
  <c r="T106" i="10"/>
  <c r="W106" i="10" s="1"/>
  <c r="T105" i="10"/>
  <c r="W105" i="10" s="1"/>
  <c r="T97" i="10"/>
  <c r="W97" i="10" s="1"/>
  <c r="R74" i="10"/>
  <c r="R78" i="10"/>
  <c r="U78" i="10" s="1"/>
  <c r="R82" i="10"/>
  <c r="U82" i="10" s="1"/>
  <c r="R86" i="10"/>
  <c r="U86" i="10" s="1"/>
  <c r="T73" i="10"/>
  <c r="W73" i="10" s="1"/>
  <c r="T77" i="10"/>
  <c r="W77" i="10" s="1"/>
  <c r="T81" i="10"/>
  <c r="W81" i="10" s="1"/>
  <c r="T85" i="10"/>
  <c r="W85" i="10" s="1"/>
  <c r="T71" i="10"/>
  <c r="T75" i="10"/>
  <c r="W75" i="10" s="1"/>
  <c r="T79" i="10"/>
  <c r="W79" i="10" s="1"/>
  <c r="T83" i="10"/>
  <c r="W83" i="10" s="1"/>
  <c r="T242" i="11"/>
  <c r="W242" i="11" s="1"/>
  <c r="T246" i="11"/>
  <c r="W246" i="11" s="1"/>
  <c r="T250" i="11"/>
  <c r="W250" i="11" s="1"/>
  <c r="T254" i="11"/>
  <c r="W254" i="11" s="1"/>
  <c r="R241" i="11"/>
  <c r="R245" i="11"/>
  <c r="U245" i="11" s="1"/>
  <c r="R249" i="11"/>
  <c r="U249" i="11" s="1"/>
  <c r="R253" i="11"/>
  <c r="U253" i="11" s="1"/>
  <c r="T221" i="11"/>
  <c r="T225" i="11"/>
  <c r="W225" i="11" s="1"/>
  <c r="T229" i="11"/>
  <c r="W229" i="11" s="1"/>
  <c r="T233" i="11"/>
  <c r="W233" i="11" s="1"/>
  <c r="R220" i="11"/>
  <c r="U220" i="11" s="1"/>
  <c r="R224" i="11"/>
  <c r="U224" i="11" s="1"/>
  <c r="R228" i="11"/>
  <c r="U228" i="11" s="1"/>
  <c r="R232" i="11"/>
  <c r="U232" i="11" s="1"/>
  <c r="R218" i="11"/>
  <c r="U218" i="11" s="1"/>
  <c r="R222" i="11"/>
  <c r="U222" i="11" s="1"/>
  <c r="R226" i="11"/>
  <c r="U226" i="11" s="1"/>
  <c r="R230" i="11"/>
  <c r="U230" i="11" s="1"/>
  <c r="U259" i="17"/>
  <c r="Q280" i="10"/>
  <c r="Q259" i="10"/>
  <c r="Q238" i="10"/>
  <c r="Q217" i="10"/>
  <c r="Q196" i="10"/>
  <c r="Q133" i="10"/>
  <c r="Q112" i="10"/>
  <c r="Q91" i="10"/>
  <c r="Q70" i="10"/>
  <c r="O238" i="11"/>
  <c r="R304" i="13"/>
  <c r="U343" i="17"/>
  <c r="R136" i="20"/>
  <c r="R154" i="20" s="1"/>
  <c r="Q385" i="21"/>
  <c r="T138" i="22"/>
  <c r="M29" i="92"/>
  <c r="G123" i="98" s="1"/>
  <c r="J28" i="92"/>
  <c r="G27" i="92"/>
  <c r="M25" i="92"/>
  <c r="G119" i="98" s="1"/>
  <c r="J24" i="92"/>
  <c r="G23" i="92"/>
  <c r="M21" i="92"/>
  <c r="G115" i="98" s="1"/>
  <c r="J20" i="92"/>
  <c r="G19" i="92"/>
  <c r="M17" i="92"/>
  <c r="J16" i="92"/>
  <c r="G15" i="92"/>
  <c r="M13" i="92"/>
  <c r="J12" i="92"/>
  <c r="G11" i="92"/>
  <c r="M9" i="92"/>
  <c r="M6" i="92"/>
  <c r="M28" i="92"/>
  <c r="G122" i="98" s="1"/>
  <c r="J27" i="92"/>
  <c r="G26" i="92"/>
  <c r="M24" i="92"/>
  <c r="G118" i="98" s="1"/>
  <c r="J23" i="92"/>
  <c r="G22" i="92"/>
  <c r="M20" i="92"/>
  <c r="G114" i="98" s="1"/>
  <c r="J19" i="92"/>
  <c r="G18" i="92"/>
  <c r="M16" i="92"/>
  <c r="J15" i="92"/>
  <c r="G14" i="92"/>
  <c r="M12" i="92"/>
  <c r="J11" i="92"/>
  <c r="G10" i="92"/>
  <c r="M8" i="92"/>
  <c r="G102" i="98" s="1"/>
  <c r="R220" i="13"/>
  <c r="T344" i="18"/>
  <c r="R243" i="18"/>
  <c r="T75" i="21"/>
  <c r="M27" i="92"/>
  <c r="G121" i="98" s="1"/>
  <c r="J26" i="92"/>
  <c r="G25" i="92"/>
  <c r="M23" i="92"/>
  <c r="G117" i="98" s="1"/>
  <c r="J22" i="92"/>
  <c r="G21" i="92"/>
  <c r="M19" i="92"/>
  <c r="J18" i="92"/>
  <c r="G17" i="92"/>
  <c r="M15" i="92"/>
  <c r="J14" i="92"/>
  <c r="G13" i="92"/>
  <c r="M11" i="92"/>
  <c r="J10" i="92"/>
  <c r="G9" i="92"/>
  <c r="M7" i="92"/>
  <c r="G101" i="98" s="1"/>
  <c r="J30" i="126"/>
  <c r="M29" i="126"/>
  <c r="E28" i="126"/>
  <c r="G27" i="126"/>
  <c r="K26" i="126"/>
  <c r="M25" i="126"/>
  <c r="E24" i="126"/>
  <c r="E22" i="126"/>
  <c r="E18" i="126"/>
  <c r="E14" i="126"/>
  <c r="E10" i="126"/>
  <c r="K28" i="126"/>
  <c r="E25" i="126"/>
  <c r="E16" i="126"/>
  <c r="K30" i="126"/>
  <c r="E29" i="126"/>
  <c r="K27" i="126"/>
  <c r="K22" i="126"/>
  <c r="E19" i="126"/>
  <c r="E15" i="126"/>
  <c r="E11" i="126"/>
  <c r="E8" i="126"/>
  <c r="M27" i="126"/>
  <c r="E26" i="126"/>
  <c r="E23" i="126"/>
  <c r="E20" i="126"/>
  <c r="E12" i="126"/>
  <c r="E30" i="126"/>
  <c r="G30" i="126"/>
  <c r="K29" i="126"/>
  <c r="E27" i="126"/>
  <c r="K25" i="126"/>
  <c r="E21" i="126"/>
  <c r="E17" i="126"/>
  <c r="E13" i="126"/>
  <c r="E9" i="126"/>
  <c r="G29" i="126"/>
  <c r="G8" i="126"/>
  <c r="E7" i="126"/>
  <c r="J17" i="126"/>
  <c r="M28" i="126"/>
  <c r="G12" i="126"/>
  <c r="G17" i="126"/>
  <c r="G21" i="126"/>
  <c r="G25" i="126"/>
  <c r="G13" i="126"/>
  <c r="M30" i="126"/>
  <c r="G6" i="126"/>
  <c r="M22" i="126"/>
  <c r="M10" i="126"/>
  <c r="H25" i="126"/>
  <c r="E6" i="126"/>
  <c r="K18" i="126"/>
  <c r="H24" i="126"/>
  <c r="M24" i="126"/>
  <c r="M9" i="126"/>
  <c r="M16" i="126"/>
  <c r="H9" i="126"/>
  <c r="H21" i="126"/>
  <c r="J18" i="126"/>
  <c r="M13" i="126"/>
  <c r="M15" i="126"/>
  <c r="H8" i="126"/>
  <c r="H20" i="126"/>
  <c r="M19" i="126"/>
  <c r="J11" i="126"/>
  <c r="J8" i="126"/>
  <c r="J24" i="126"/>
  <c r="J28" i="126"/>
  <c r="G14" i="126"/>
  <c r="M23" i="126"/>
  <c r="K6" i="126"/>
  <c r="H29" i="126"/>
  <c r="M6" i="126"/>
  <c r="H27" i="126"/>
  <c r="J16" i="126"/>
  <c r="G26" i="126"/>
  <c r="G10" i="126"/>
  <c r="G16" i="126"/>
  <c r="G20" i="126"/>
  <c r="G24" i="126"/>
  <c r="G11" i="126"/>
  <c r="G28" i="126"/>
  <c r="M20" i="126"/>
  <c r="K10" i="126"/>
  <c r="K21" i="126"/>
  <c r="H15" i="126"/>
  <c r="K23" i="126"/>
  <c r="K9" i="126"/>
  <c r="K16" i="126"/>
  <c r="K17" i="126"/>
  <c r="K8" i="126"/>
  <c r="K20" i="126"/>
  <c r="J9" i="126"/>
  <c r="K13" i="126"/>
  <c r="K15" i="126"/>
  <c r="K7" i="126"/>
  <c r="K19" i="126"/>
  <c r="J15" i="126"/>
  <c r="J23" i="126"/>
  <c r="J27" i="126"/>
  <c r="O27" i="126" s="1"/>
  <c r="J7" i="126"/>
  <c r="J20" i="126"/>
  <c r="G22" i="126"/>
  <c r="K14" i="126"/>
  <c r="H26" i="126"/>
  <c r="H23" i="126"/>
  <c r="K11" i="126"/>
  <c r="H12" i="126"/>
  <c r="J29" i="126"/>
  <c r="J13" i="126"/>
  <c r="J21" i="126"/>
  <c r="G15" i="126"/>
  <c r="O15" i="126" s="1"/>
  <c r="G19" i="126"/>
  <c r="G23" i="126"/>
  <c r="G9" i="126"/>
  <c r="M26" i="126"/>
  <c r="M17" i="126"/>
  <c r="K24" i="126"/>
  <c r="M14" i="126"/>
  <c r="H18" i="126"/>
  <c r="H11" i="126"/>
  <c r="H22" i="126"/>
  <c r="M21" i="126"/>
  <c r="M12" i="126"/>
  <c r="H14" i="126"/>
  <c r="H7" i="126"/>
  <c r="H17" i="126"/>
  <c r="H28" i="126"/>
  <c r="M18" i="126"/>
  <c r="J10" i="126"/>
  <c r="M11" i="126"/>
  <c r="H6" i="126"/>
  <c r="H16" i="126"/>
  <c r="H30" i="126"/>
  <c r="J19" i="126"/>
  <c r="J22" i="126"/>
  <c r="O22" i="126" s="1"/>
  <c r="J26" i="126"/>
  <c r="J6" i="126"/>
  <c r="J12" i="126"/>
  <c r="G18" i="126"/>
  <c r="G7" i="126"/>
  <c r="M8" i="126"/>
  <c r="H10" i="126"/>
  <c r="H19" i="126"/>
  <c r="K12" i="126"/>
  <c r="H13" i="126"/>
  <c r="J14" i="126"/>
  <c r="M7" i="126"/>
  <c r="J25" i="126"/>
  <c r="R313" i="8"/>
  <c r="U313" i="8" s="1"/>
  <c r="T270" i="8"/>
  <c r="T84" i="12"/>
  <c r="W84" i="12" s="1"/>
  <c r="T218" i="16"/>
  <c r="W218" i="16" s="1"/>
  <c r="R159" i="16"/>
  <c r="U159" i="16" s="1"/>
  <c r="T366" i="17"/>
  <c r="T385" i="17" s="1"/>
  <c r="R411" i="21"/>
  <c r="R427" i="21" s="1"/>
  <c r="R388" i="21"/>
  <c r="R406" i="21" s="1"/>
  <c r="R283" i="21"/>
  <c r="R40" i="21"/>
  <c r="U40" i="21" s="1"/>
  <c r="M30" i="92"/>
  <c r="G124" i="98" s="1"/>
  <c r="M26" i="92"/>
  <c r="G120" i="98" s="1"/>
  <c r="J25" i="92"/>
  <c r="G24" i="92"/>
  <c r="M22" i="92"/>
  <c r="G116" i="98" s="1"/>
  <c r="J21" i="92"/>
  <c r="G20" i="92"/>
  <c r="M18" i="92"/>
  <c r="J17" i="92"/>
  <c r="G16" i="92"/>
  <c r="M14" i="92"/>
  <c r="J13" i="92"/>
  <c r="G12" i="92"/>
  <c r="M10" i="92"/>
  <c r="J9" i="92"/>
  <c r="E7" i="98"/>
  <c r="E12" i="98"/>
  <c r="E8" i="98"/>
  <c r="E9" i="98"/>
  <c r="E14" i="98"/>
  <c r="E10" i="98"/>
  <c r="C15" i="127"/>
  <c r="E19" i="98"/>
  <c r="C23" i="127"/>
  <c r="E11" i="98"/>
  <c r="C17" i="127"/>
  <c r="T364" i="18"/>
  <c r="W344" i="18"/>
  <c r="W366" i="17"/>
  <c r="W385" i="17" s="1"/>
  <c r="K23" i="105"/>
  <c r="K117" i="98" s="1"/>
  <c r="J6" i="105"/>
  <c r="J10" i="105"/>
  <c r="K12" i="105"/>
  <c r="K106" i="98" s="1"/>
  <c r="K20" i="105"/>
  <c r="K114" i="98" s="1"/>
  <c r="K28" i="105"/>
  <c r="K122" i="98" s="1"/>
  <c r="H28" i="105"/>
  <c r="K91" i="98" s="1"/>
  <c r="H26" i="105"/>
  <c r="K89" i="98" s="1"/>
  <c r="H24" i="105"/>
  <c r="K87" i="98" s="1"/>
  <c r="H22" i="105"/>
  <c r="K85" i="98" s="1"/>
  <c r="H20" i="105"/>
  <c r="K83" i="98" s="1"/>
  <c r="H18" i="105"/>
  <c r="K81" i="98" s="1"/>
  <c r="H16" i="105"/>
  <c r="K79" i="98" s="1"/>
  <c r="H14" i="105"/>
  <c r="K77" i="98" s="1"/>
  <c r="H12" i="105"/>
  <c r="K75" i="98" s="1"/>
  <c r="J30" i="105"/>
  <c r="M93" i="98" s="1"/>
  <c r="M27" i="105"/>
  <c r="M121" i="98" s="1"/>
  <c r="J26" i="105"/>
  <c r="M89" i="98" s="1"/>
  <c r="M23" i="105"/>
  <c r="M117" i="98" s="1"/>
  <c r="J22" i="105"/>
  <c r="M85" i="98" s="1"/>
  <c r="M19" i="105"/>
  <c r="M113" i="98" s="1"/>
  <c r="J18" i="105"/>
  <c r="M81" i="98" s="1"/>
  <c r="M15" i="105"/>
  <c r="M109" i="98" s="1"/>
  <c r="M13" i="105"/>
  <c r="M107" i="98" s="1"/>
  <c r="M12" i="105"/>
  <c r="M106" i="98" s="1"/>
  <c r="M10" i="105"/>
  <c r="M104" i="98" s="1"/>
  <c r="K21" i="105"/>
  <c r="K115" i="98" s="1"/>
  <c r="K29" i="105"/>
  <c r="K123" i="98" s="1"/>
  <c r="J9" i="105"/>
  <c r="G12" i="105"/>
  <c r="K18" i="105"/>
  <c r="K112" i="98" s="1"/>
  <c r="K26" i="105"/>
  <c r="K120" i="98" s="1"/>
  <c r="E29" i="105"/>
  <c r="K61" i="98" s="1"/>
  <c r="E27" i="105"/>
  <c r="K59" i="98" s="1"/>
  <c r="E25" i="105"/>
  <c r="K57" i="98" s="1"/>
  <c r="E23" i="105"/>
  <c r="K55" i="98" s="1"/>
  <c r="E21" i="105"/>
  <c r="K53" i="98" s="1"/>
  <c r="E19" i="105"/>
  <c r="K51" i="98" s="1"/>
  <c r="E17" i="105"/>
  <c r="K49" i="98" s="1"/>
  <c r="E15" i="105"/>
  <c r="K47" i="98" s="1"/>
  <c r="E13" i="105"/>
  <c r="K45" i="98" s="1"/>
  <c r="M30" i="105"/>
  <c r="M124" i="98" s="1"/>
  <c r="G28" i="105"/>
  <c r="M26" i="105"/>
  <c r="M120" i="98" s="1"/>
  <c r="G24" i="105"/>
  <c r="M22" i="105"/>
  <c r="M116" i="98" s="1"/>
  <c r="G20" i="105"/>
  <c r="M18" i="105"/>
  <c r="M112" i="98" s="1"/>
  <c r="G16" i="105"/>
  <c r="G14" i="105"/>
  <c r="M46" i="98" s="1"/>
  <c r="M11" i="105"/>
  <c r="M105" i="98" s="1"/>
  <c r="K19" i="105"/>
  <c r="K113" i="98" s="1"/>
  <c r="K27" i="105"/>
  <c r="K121" i="98" s="1"/>
  <c r="J8" i="105"/>
  <c r="M71" i="98" s="1"/>
  <c r="K11" i="105"/>
  <c r="K105" i="98" s="1"/>
  <c r="K16" i="105"/>
  <c r="K110" i="98" s="1"/>
  <c r="K24" i="105"/>
  <c r="K118" i="98" s="1"/>
  <c r="H29" i="105"/>
  <c r="K92" i="98" s="1"/>
  <c r="H27" i="105"/>
  <c r="K90" i="98" s="1"/>
  <c r="H25" i="105"/>
  <c r="K88" i="98" s="1"/>
  <c r="H23" i="105"/>
  <c r="K86" i="98" s="1"/>
  <c r="H21" i="105"/>
  <c r="K84" i="98" s="1"/>
  <c r="H19" i="105"/>
  <c r="K82" i="98" s="1"/>
  <c r="H17" i="105"/>
  <c r="K80" i="98" s="1"/>
  <c r="H15" i="105"/>
  <c r="K78" i="98" s="1"/>
  <c r="H13" i="105"/>
  <c r="K76" i="98" s="1"/>
  <c r="H11" i="105"/>
  <c r="K74" i="98" s="1"/>
  <c r="J28" i="105"/>
  <c r="M91" i="98" s="1"/>
  <c r="G27" i="105"/>
  <c r="M59" i="98" s="1"/>
  <c r="J24" i="105"/>
  <c r="M87" i="98" s="1"/>
  <c r="G23" i="105"/>
  <c r="J20" i="105"/>
  <c r="M83" i="98" s="1"/>
  <c r="G19" i="105"/>
  <c r="M51" i="98" s="1"/>
  <c r="J16" i="105"/>
  <c r="M79" i="98" s="1"/>
  <c r="G15" i="105"/>
  <c r="M47" i="98" s="1"/>
  <c r="G13" i="105"/>
  <c r="K25" i="105"/>
  <c r="K119" i="98" s="1"/>
  <c r="J7" i="105"/>
  <c r="G11" i="105"/>
  <c r="M43" i="98" s="1"/>
  <c r="K14" i="105"/>
  <c r="K108" i="98" s="1"/>
  <c r="K22" i="105"/>
  <c r="K116" i="98" s="1"/>
  <c r="K30" i="105"/>
  <c r="K124" i="98" s="1"/>
  <c r="E28" i="105"/>
  <c r="K60" i="98" s="1"/>
  <c r="E26" i="105"/>
  <c r="K58" i="98" s="1"/>
  <c r="E24" i="105"/>
  <c r="K56" i="98" s="1"/>
  <c r="E22" i="105"/>
  <c r="K54" i="98" s="1"/>
  <c r="E20" i="105"/>
  <c r="K52" i="98" s="1"/>
  <c r="E18" i="105"/>
  <c r="K50" i="98" s="1"/>
  <c r="E16" i="105"/>
  <c r="K48" i="98" s="1"/>
  <c r="E14" i="105"/>
  <c r="K46" i="98" s="1"/>
  <c r="E12" i="105"/>
  <c r="K44" i="98" s="1"/>
  <c r="M28" i="105"/>
  <c r="M122" i="98" s="1"/>
  <c r="J27" i="105"/>
  <c r="M90" i="98" s="1"/>
  <c r="M24" i="105"/>
  <c r="M118" i="98" s="1"/>
  <c r="J23" i="105"/>
  <c r="M86" i="98" s="1"/>
  <c r="M20" i="105"/>
  <c r="M114" i="98" s="1"/>
  <c r="J19" i="105"/>
  <c r="M82" i="98" s="1"/>
  <c r="M16" i="105"/>
  <c r="M110" i="98" s="1"/>
  <c r="J15" i="105"/>
  <c r="M78" i="98" s="1"/>
  <c r="J13" i="105"/>
  <c r="M76" i="98" s="1"/>
  <c r="E30" i="105"/>
  <c r="K62" i="98" s="1"/>
  <c r="W301" i="20"/>
  <c r="T238" i="18"/>
  <c r="W218" i="18"/>
  <c r="W343" i="21"/>
  <c r="U49" i="18"/>
  <c r="U91" i="18"/>
  <c r="W217" i="18"/>
  <c r="U91" i="17"/>
  <c r="R245" i="8"/>
  <c r="U245" i="8" s="1"/>
  <c r="T228" i="8"/>
  <c r="W228" i="8" s="1"/>
  <c r="T207" i="8"/>
  <c r="W207" i="8" s="1"/>
  <c r="T163" i="11"/>
  <c r="T175" i="11" s="1"/>
  <c r="R190" i="13"/>
  <c r="U190" i="13" s="1"/>
  <c r="T74" i="13"/>
  <c r="W74" i="13" s="1"/>
  <c r="R33" i="14"/>
  <c r="U33" i="14" s="1"/>
  <c r="R8" i="14"/>
  <c r="T118" i="18"/>
  <c r="T309" i="21"/>
  <c r="T322" i="21" s="1"/>
  <c r="T268" i="22"/>
  <c r="W268" i="22" s="1"/>
  <c r="W427" i="16"/>
  <c r="W217" i="12"/>
  <c r="U238" i="18"/>
  <c r="U406" i="10"/>
  <c r="U28" i="17"/>
  <c r="W49" i="10"/>
  <c r="K186" i="96"/>
  <c r="R176" i="8"/>
  <c r="U176" i="8" s="1"/>
  <c r="R166" i="8"/>
  <c r="U166" i="8" s="1"/>
  <c r="R147" i="8"/>
  <c r="U147" i="8" s="1"/>
  <c r="R126" i="8"/>
  <c r="U126" i="8" s="1"/>
  <c r="T106" i="8"/>
  <c r="W106" i="8" s="1"/>
  <c r="T83" i="8"/>
  <c r="W83" i="8" s="1"/>
  <c r="R220" i="12"/>
  <c r="R188" i="12"/>
  <c r="U188" i="12" s="1"/>
  <c r="R346" i="14"/>
  <c r="U346" i="14" s="1"/>
  <c r="R304" i="14"/>
  <c r="W133" i="16"/>
  <c r="U385" i="18"/>
  <c r="W343" i="17"/>
  <c r="U28" i="16"/>
  <c r="T392" i="8"/>
  <c r="R355" i="8"/>
  <c r="U355" i="8" s="1"/>
  <c r="R65" i="8"/>
  <c r="U65" i="8" s="1"/>
  <c r="T43" i="8"/>
  <c r="W43" i="8" s="1"/>
  <c r="T22" i="8"/>
  <c r="W22" i="8" s="1"/>
  <c r="R420" i="9"/>
  <c r="U420" i="9" s="1"/>
  <c r="W398" i="9"/>
  <c r="R393" i="9"/>
  <c r="U393" i="9" s="1"/>
  <c r="T377" i="9"/>
  <c r="W377" i="9" s="1"/>
  <c r="U359" i="9"/>
  <c r="U355" i="9"/>
  <c r="T239" i="9"/>
  <c r="R50" i="14"/>
  <c r="T114" i="17"/>
  <c r="T133" i="17" s="1"/>
  <c r="R54" i="18"/>
  <c r="R70" i="18" s="1"/>
  <c r="R348" i="22"/>
  <c r="U348" i="22" s="1"/>
  <c r="R155" i="22"/>
  <c r="U155" i="22" s="1"/>
  <c r="T96" i="22"/>
  <c r="R71" i="22"/>
  <c r="U71" i="22" s="1"/>
  <c r="U91" i="22" s="1"/>
  <c r="U49" i="17"/>
  <c r="W385" i="18"/>
  <c r="U364" i="18"/>
  <c r="R134" i="15"/>
  <c r="R411" i="16"/>
  <c r="T303" i="16"/>
  <c r="W303" i="16" s="1"/>
  <c r="T281" i="16"/>
  <c r="R260" i="16"/>
  <c r="R199" i="18"/>
  <c r="U199" i="18" s="1"/>
  <c r="R222" i="19"/>
  <c r="T52" i="19"/>
  <c r="R289" i="20"/>
  <c r="U289" i="20" s="1"/>
  <c r="G7" i="92"/>
  <c r="G29" i="92"/>
  <c r="J8" i="92"/>
  <c r="J6" i="92"/>
  <c r="G28" i="92"/>
  <c r="J7" i="92"/>
  <c r="J30" i="92"/>
  <c r="G6" i="92"/>
  <c r="J29" i="92"/>
  <c r="G8" i="92"/>
  <c r="G30" i="92"/>
  <c r="U427" i="22"/>
  <c r="U217" i="18"/>
  <c r="U14" i="21"/>
  <c r="U327" i="16"/>
  <c r="T238" i="15"/>
  <c r="S95" i="96"/>
  <c r="W176" i="21"/>
  <c r="R196" i="22"/>
  <c r="R49" i="14"/>
  <c r="T154" i="22"/>
  <c r="W49" i="17"/>
  <c r="T322" i="22"/>
  <c r="W49" i="21"/>
  <c r="U154" i="18"/>
  <c r="W28" i="14"/>
  <c r="W175" i="19"/>
  <c r="T28" i="22"/>
  <c r="W133" i="21"/>
  <c r="W343" i="13"/>
  <c r="R175" i="22"/>
  <c r="U385" i="19"/>
  <c r="O21" i="103"/>
  <c r="W301" i="9"/>
  <c r="W259" i="12"/>
  <c r="T70" i="17"/>
  <c r="U243" i="18"/>
  <c r="W406" i="17"/>
  <c r="T259" i="20"/>
  <c r="W352" i="9"/>
  <c r="R368" i="9"/>
  <c r="U368" i="9" s="1"/>
  <c r="R372" i="9"/>
  <c r="U372" i="9" s="1"/>
  <c r="R376" i="9"/>
  <c r="U376" i="9" s="1"/>
  <c r="R380" i="9"/>
  <c r="U380" i="9" s="1"/>
  <c r="T390" i="9"/>
  <c r="R395" i="9"/>
  <c r="U395" i="9" s="1"/>
  <c r="R397" i="9"/>
  <c r="U397" i="9" s="1"/>
  <c r="R399" i="9"/>
  <c r="U399" i="9" s="1"/>
  <c r="R401" i="9"/>
  <c r="U401" i="9" s="1"/>
  <c r="T411" i="9"/>
  <c r="W411" i="9" s="1"/>
  <c r="T415" i="9"/>
  <c r="W415" i="9" s="1"/>
  <c r="T419" i="9"/>
  <c r="W419" i="9" s="1"/>
  <c r="R9" i="8"/>
  <c r="U9" i="8" s="1"/>
  <c r="T14" i="8"/>
  <c r="W14" i="8" s="1"/>
  <c r="R30" i="8"/>
  <c r="R34" i="8"/>
  <c r="U34" i="8" s="1"/>
  <c r="R38" i="8"/>
  <c r="U38" i="8" s="1"/>
  <c r="R42" i="8"/>
  <c r="U42" i="8" s="1"/>
  <c r="T52" i="8"/>
  <c r="R55" i="8"/>
  <c r="U55" i="8" s="1"/>
  <c r="R74" i="8"/>
  <c r="R78" i="8"/>
  <c r="U78" i="8" s="1"/>
  <c r="R82" i="8"/>
  <c r="U82" i="8" s="1"/>
  <c r="R86" i="8"/>
  <c r="U86" i="8" s="1"/>
  <c r="R95" i="8"/>
  <c r="U95" i="8" s="1"/>
  <c r="T98" i="8"/>
  <c r="W98" i="8" s="1"/>
  <c r="R114" i="8"/>
  <c r="U114" i="8" s="1"/>
  <c r="R118" i="8"/>
  <c r="U118" i="8" s="1"/>
  <c r="R122" i="8"/>
  <c r="U122" i="8" s="1"/>
  <c r="T136" i="8"/>
  <c r="W136" i="8" s="1"/>
  <c r="T144" i="8"/>
  <c r="W144" i="8" s="1"/>
  <c r="R162" i="8"/>
  <c r="U162" i="8" s="1"/>
  <c r="R181" i="8"/>
  <c r="U181" i="8" s="1"/>
  <c r="T188" i="8"/>
  <c r="W188" i="8" s="1"/>
  <c r="T209" i="8"/>
  <c r="W209" i="8" s="1"/>
  <c r="T226" i="8"/>
  <c r="W226" i="8" s="1"/>
  <c r="T232" i="8"/>
  <c r="W232" i="8" s="1"/>
  <c r="T266" i="8"/>
  <c r="W266" i="8" s="1"/>
  <c r="T304" i="8"/>
  <c r="W304" i="8" s="1"/>
  <c r="T312" i="8"/>
  <c r="W312" i="8" s="1"/>
  <c r="R349" i="8"/>
  <c r="U349" i="8" s="1"/>
  <c r="T398" i="8"/>
  <c r="W398" i="8" s="1"/>
  <c r="T328" i="9"/>
  <c r="R262" i="9"/>
  <c r="U262" i="9" s="1"/>
  <c r="T8" i="9"/>
  <c r="R325" i="10"/>
  <c r="R32" i="11"/>
  <c r="U32" i="11" s="1"/>
  <c r="T323" i="12"/>
  <c r="W323" i="12" s="1"/>
  <c r="T305" i="12"/>
  <c r="T322" i="12" s="1"/>
  <c r="T86" i="12"/>
  <c r="W86" i="12" s="1"/>
  <c r="R197" i="13"/>
  <c r="T407" i="14"/>
  <c r="R388" i="14"/>
  <c r="R274" i="14"/>
  <c r="U274" i="14" s="1"/>
  <c r="R241" i="14"/>
  <c r="T181" i="15"/>
  <c r="R159" i="15"/>
  <c r="U159" i="15" s="1"/>
  <c r="T357" i="16"/>
  <c r="W357" i="16" s="1"/>
  <c r="T305" i="16"/>
  <c r="W305" i="16" s="1"/>
  <c r="T92" i="16"/>
  <c r="W92" i="16" s="1"/>
  <c r="R73" i="16"/>
  <c r="R54" i="16"/>
  <c r="U54" i="16" s="1"/>
  <c r="R262" i="19"/>
  <c r="R280" i="19" s="1"/>
  <c r="R199" i="19"/>
  <c r="R121" i="19"/>
  <c r="U121" i="19" s="1"/>
  <c r="R407" i="20"/>
  <c r="R391" i="20"/>
  <c r="U391" i="20" s="1"/>
  <c r="R159" i="20"/>
  <c r="U159" i="20" s="1"/>
  <c r="U175" i="20" s="1"/>
  <c r="R167" i="21"/>
  <c r="R138" i="21"/>
  <c r="U138" i="21" s="1"/>
  <c r="R118" i="21"/>
  <c r="R22" i="21"/>
  <c r="U22" i="21" s="1"/>
  <c r="R197" i="22"/>
  <c r="R389" i="9"/>
  <c r="U389" i="9" s="1"/>
  <c r="T392" i="9"/>
  <c r="W392" i="9" s="1"/>
  <c r="R410" i="9"/>
  <c r="U410" i="9" s="1"/>
  <c r="R414" i="9"/>
  <c r="U414" i="9" s="1"/>
  <c r="R418" i="9"/>
  <c r="U418" i="9" s="1"/>
  <c r="R422" i="9"/>
  <c r="U422" i="9" s="1"/>
  <c r="R11" i="8"/>
  <c r="U11" i="8" s="1"/>
  <c r="R17" i="8"/>
  <c r="U17" i="8" s="1"/>
  <c r="R19" i="8"/>
  <c r="U19" i="8" s="1"/>
  <c r="R21" i="8"/>
  <c r="U21" i="8" s="1"/>
  <c r="R23" i="8"/>
  <c r="U23" i="8" s="1"/>
  <c r="T33" i="8"/>
  <c r="W33" i="8" s="1"/>
  <c r="T37" i="8"/>
  <c r="W37" i="8" s="1"/>
  <c r="T41" i="8"/>
  <c r="W41" i="8" s="1"/>
  <c r="R51" i="8"/>
  <c r="U51" i="8" s="1"/>
  <c r="T58" i="8"/>
  <c r="W58" i="8" s="1"/>
  <c r="T60" i="8"/>
  <c r="W60" i="8" s="1"/>
  <c r="T62" i="8"/>
  <c r="W62" i="8" s="1"/>
  <c r="T64" i="8"/>
  <c r="W64" i="8" s="1"/>
  <c r="T73" i="8"/>
  <c r="W73" i="8" s="1"/>
  <c r="T77" i="8"/>
  <c r="W77" i="8" s="1"/>
  <c r="T81" i="8"/>
  <c r="W81" i="8" s="1"/>
  <c r="T85" i="8"/>
  <c r="W85" i="8" s="1"/>
  <c r="T94" i="8"/>
  <c r="W94" i="8" s="1"/>
  <c r="R101" i="8"/>
  <c r="U101" i="8" s="1"/>
  <c r="R103" i="8"/>
  <c r="U103" i="8" s="1"/>
  <c r="R105" i="8"/>
  <c r="U105" i="8" s="1"/>
  <c r="R107" i="8"/>
  <c r="U107" i="8" s="1"/>
  <c r="T117" i="8"/>
  <c r="W117" i="8" s="1"/>
  <c r="T121" i="8"/>
  <c r="W121" i="8" s="1"/>
  <c r="T125" i="8"/>
  <c r="W125" i="8" s="1"/>
  <c r="R135" i="8"/>
  <c r="U135" i="8" s="1"/>
  <c r="R143" i="8"/>
  <c r="U143" i="8" s="1"/>
  <c r="R160" i="8"/>
  <c r="U160" i="8" s="1"/>
  <c r="T178" i="8"/>
  <c r="W178" i="8" s="1"/>
  <c r="R187" i="8"/>
  <c r="U187" i="8" s="1"/>
  <c r="R225" i="8"/>
  <c r="R231" i="8"/>
  <c r="U231" i="8" s="1"/>
  <c r="R265" i="8"/>
  <c r="U265" i="8" s="1"/>
  <c r="T274" i="8"/>
  <c r="W274" i="8" s="1"/>
  <c r="R309" i="8"/>
  <c r="U309" i="8" s="1"/>
  <c r="R317" i="8"/>
  <c r="U317" i="8" s="1"/>
  <c r="R347" i="8"/>
  <c r="U347" i="8" s="1"/>
  <c r="R356" i="9"/>
  <c r="U356" i="9" s="1"/>
  <c r="R304" i="9"/>
  <c r="T305" i="11"/>
  <c r="T322" i="11" s="1"/>
  <c r="R223" i="11"/>
  <c r="R51" i="11"/>
  <c r="R272" i="12"/>
  <c r="T114" i="12"/>
  <c r="R102" i="12"/>
  <c r="U102" i="12" s="1"/>
  <c r="R388" i="13"/>
  <c r="T376" i="13"/>
  <c r="W376" i="13" s="1"/>
  <c r="R272" i="13"/>
  <c r="R52" i="13"/>
  <c r="T32" i="13"/>
  <c r="W32" i="13" s="1"/>
  <c r="R222" i="14"/>
  <c r="U222" i="14" s="1"/>
  <c r="R199" i="14"/>
  <c r="R411" i="15"/>
  <c r="R386" i="15"/>
  <c r="T365" i="15"/>
  <c r="T260" i="15"/>
  <c r="W260" i="15" s="1"/>
  <c r="R201" i="15"/>
  <c r="T239" i="16"/>
  <c r="T158" i="18"/>
  <c r="U54" i="18"/>
  <c r="U70" i="18" s="1"/>
  <c r="T409" i="22"/>
  <c r="T427" i="22" s="1"/>
  <c r="R283" i="18"/>
  <c r="T260" i="18"/>
  <c r="T113" i="18"/>
  <c r="W113" i="18" s="1"/>
  <c r="R241" i="19"/>
  <c r="R71" i="19"/>
  <c r="T10" i="19"/>
  <c r="T28" i="19" s="1"/>
  <c r="R52" i="20"/>
  <c r="R31" i="20"/>
  <c r="U31" i="20" s="1"/>
  <c r="R10" i="20"/>
  <c r="T239" i="21"/>
  <c r="W239" i="21" s="1"/>
  <c r="T369" i="9"/>
  <c r="W369" i="9" s="1"/>
  <c r="T373" i="9"/>
  <c r="W373" i="9" s="1"/>
  <c r="R387" i="9"/>
  <c r="U387" i="9" s="1"/>
  <c r="R408" i="9"/>
  <c r="U408" i="9" s="1"/>
  <c r="R412" i="9"/>
  <c r="U412" i="9" s="1"/>
  <c r="R416" i="9"/>
  <c r="U416" i="9" s="1"/>
  <c r="T12" i="8"/>
  <c r="W12" i="8" s="1"/>
  <c r="R15" i="8"/>
  <c r="U15" i="8" s="1"/>
  <c r="T18" i="8"/>
  <c r="W18" i="8" s="1"/>
  <c r="T20" i="8"/>
  <c r="W20" i="8" s="1"/>
  <c r="T31" i="8"/>
  <c r="W31" i="8" s="1"/>
  <c r="T35" i="8"/>
  <c r="W35" i="8" s="1"/>
  <c r="T39" i="8"/>
  <c r="W39" i="8" s="1"/>
  <c r="R53" i="8"/>
  <c r="U53" i="8" s="1"/>
  <c r="T56" i="8"/>
  <c r="W56" i="8" s="1"/>
  <c r="R59" i="8"/>
  <c r="U59" i="8" s="1"/>
  <c r="R61" i="8"/>
  <c r="U61" i="8" s="1"/>
  <c r="R63" i="8"/>
  <c r="U63" i="8" s="1"/>
  <c r="T75" i="8"/>
  <c r="W75" i="8" s="1"/>
  <c r="T79" i="8"/>
  <c r="W79" i="8" s="1"/>
  <c r="R93" i="8"/>
  <c r="T96" i="8"/>
  <c r="W96" i="8" s="1"/>
  <c r="R99" i="8"/>
  <c r="U99" i="8" s="1"/>
  <c r="T102" i="8"/>
  <c r="W102" i="8" s="1"/>
  <c r="T104" i="8"/>
  <c r="W104" i="8" s="1"/>
  <c r="T115" i="8"/>
  <c r="T119" i="8"/>
  <c r="W119" i="8" s="1"/>
  <c r="T123" i="8"/>
  <c r="W123" i="8" s="1"/>
  <c r="R137" i="8"/>
  <c r="U137" i="8" s="1"/>
  <c r="T182" i="8"/>
  <c r="W182" i="8" s="1"/>
  <c r="R191" i="8"/>
  <c r="U191" i="8" s="1"/>
  <c r="R219" i="8"/>
  <c r="U219" i="8" s="1"/>
  <c r="R242" i="8"/>
  <c r="U242" i="8" s="1"/>
  <c r="R305" i="8"/>
  <c r="U305" i="8" s="1"/>
  <c r="T267" i="8"/>
  <c r="R199" i="8"/>
  <c r="U199" i="8" s="1"/>
  <c r="T92" i="8"/>
  <c r="W92" i="8" s="1"/>
  <c r="T71" i="8"/>
  <c r="T240" i="9"/>
  <c r="R178" i="9"/>
  <c r="U178" i="9" s="1"/>
  <c r="T344" i="11"/>
  <c r="T80" i="12"/>
  <c r="W80" i="12" s="1"/>
  <c r="T155" i="13"/>
  <c r="T365" i="14"/>
  <c r="T50" i="15"/>
  <c r="W50" i="15" s="1"/>
  <c r="T30" i="16"/>
  <c r="T49" i="16" s="1"/>
  <c r="T8" i="17"/>
  <c r="W8" i="17" s="1"/>
  <c r="R409" i="18"/>
  <c r="T401" i="18"/>
  <c r="W401" i="18" s="1"/>
  <c r="T134" i="18"/>
  <c r="T407" i="19"/>
  <c r="W407" i="19" s="1"/>
  <c r="R304" i="19"/>
  <c r="R283" i="19"/>
  <c r="R178" i="19"/>
  <c r="T407" i="20"/>
  <c r="R94" i="20"/>
  <c r="R346" i="21"/>
  <c r="R325" i="21"/>
  <c r="R52" i="21"/>
  <c r="R333" i="22"/>
  <c r="U333" i="22" s="1"/>
  <c r="E44" i="106"/>
  <c r="J124" i="98"/>
  <c r="J106" i="98"/>
  <c r="J105" i="98"/>
  <c r="J104" i="98"/>
  <c r="J103" i="98"/>
  <c r="J102" i="98"/>
  <c r="J101" i="98"/>
  <c r="J100" i="98"/>
  <c r="J93" i="98"/>
  <c r="J123" i="98"/>
  <c r="J122" i="98"/>
  <c r="J121" i="98"/>
  <c r="J120" i="98"/>
  <c r="J119" i="98"/>
  <c r="J118" i="98"/>
  <c r="J117" i="98"/>
  <c r="J116" i="98"/>
  <c r="J115" i="98"/>
  <c r="J114" i="98"/>
  <c r="J112" i="98"/>
  <c r="J111" i="98"/>
  <c r="J110" i="98"/>
  <c r="J109" i="98"/>
  <c r="J108" i="98"/>
  <c r="J70" i="98"/>
  <c r="J74" i="98"/>
  <c r="J82" i="98"/>
  <c r="J90" i="98"/>
  <c r="J69" i="98"/>
  <c r="J81" i="98"/>
  <c r="J85" i="98"/>
  <c r="J89" i="98"/>
  <c r="J107" i="98"/>
  <c r="J72" i="98"/>
  <c r="J76" i="98"/>
  <c r="J80" i="98"/>
  <c r="J84" i="98"/>
  <c r="J88" i="98"/>
  <c r="J113" i="98"/>
  <c r="J79" i="98"/>
  <c r="J83" i="98"/>
  <c r="J87" i="98"/>
  <c r="W70" i="22"/>
  <c r="U91" i="14"/>
  <c r="R175" i="16"/>
  <c r="W238" i="18"/>
  <c r="W112" i="17"/>
  <c r="U196" i="17"/>
  <c r="S216" i="96"/>
  <c r="U49" i="14"/>
  <c r="W70" i="14"/>
  <c r="W218" i="22"/>
  <c r="U217" i="21"/>
  <c r="U217" i="17"/>
  <c r="U385" i="17"/>
  <c r="W238" i="12"/>
  <c r="U175" i="15"/>
  <c r="U343" i="16"/>
  <c r="U91" i="12"/>
  <c r="U133" i="13"/>
  <c r="W301" i="13"/>
  <c r="W259" i="22"/>
  <c r="U322" i="21"/>
  <c r="U343" i="13"/>
  <c r="T406" i="22"/>
  <c r="W154" i="20"/>
  <c r="W196" i="20"/>
  <c r="W217" i="19"/>
  <c r="U196" i="18"/>
  <c r="R112" i="22"/>
  <c r="W28" i="22"/>
  <c r="U49" i="22"/>
  <c r="U280" i="22"/>
  <c r="U238" i="22"/>
  <c r="W301" i="19"/>
  <c r="U322" i="18"/>
  <c r="U322" i="17"/>
  <c r="U112" i="22"/>
  <c r="W259" i="21"/>
  <c r="W259" i="19"/>
  <c r="W303" i="22"/>
  <c r="W322" i="22" s="1"/>
  <c r="W406" i="21"/>
  <c r="U280" i="18"/>
  <c r="W280" i="22"/>
  <c r="W259" i="18"/>
  <c r="W217" i="22"/>
  <c r="U385" i="14"/>
  <c r="U175" i="22"/>
  <c r="R280" i="22"/>
  <c r="W112" i="20"/>
  <c r="W364" i="18"/>
  <c r="U406" i="18"/>
  <c r="W175" i="14"/>
  <c r="W406" i="14"/>
  <c r="T394" i="8"/>
  <c r="W394" i="8" s="1"/>
  <c r="T396" i="8"/>
  <c r="W396" i="8" s="1"/>
  <c r="T388" i="8"/>
  <c r="R233" i="8"/>
  <c r="U233" i="8" s="1"/>
  <c r="R227" i="8"/>
  <c r="U227" i="8" s="1"/>
  <c r="R223" i="8"/>
  <c r="U223" i="8" s="1"/>
  <c r="T220" i="8"/>
  <c r="T230" i="8"/>
  <c r="W230" i="8" s="1"/>
  <c r="T224" i="8"/>
  <c r="W224" i="8" s="1"/>
  <c r="R221" i="8"/>
  <c r="R169" i="8"/>
  <c r="U169" i="8" s="1"/>
  <c r="R168" i="8"/>
  <c r="U168" i="8" s="1"/>
  <c r="R164" i="8"/>
  <c r="U164" i="8" s="1"/>
  <c r="R158" i="8"/>
  <c r="U158" i="8" s="1"/>
  <c r="R170" i="8"/>
  <c r="U170" i="8" s="1"/>
  <c r="R261" i="8"/>
  <c r="U261" i="8" s="1"/>
  <c r="R269" i="8"/>
  <c r="T390" i="8"/>
  <c r="W390" i="8" s="1"/>
  <c r="R275" i="8"/>
  <c r="U275" i="8" s="1"/>
  <c r="T314" i="8"/>
  <c r="W314" i="8" s="1"/>
  <c r="T310" i="8"/>
  <c r="W310" i="8" s="1"/>
  <c r="T306" i="8"/>
  <c r="R315" i="8"/>
  <c r="U315" i="8" s="1"/>
  <c r="R311" i="8"/>
  <c r="U311" i="8" s="1"/>
  <c r="R307" i="8"/>
  <c r="U307" i="8" s="1"/>
  <c r="R303" i="8"/>
  <c r="R136" i="8"/>
  <c r="T148" i="8"/>
  <c r="W148" i="8" s="1"/>
  <c r="R145" i="8"/>
  <c r="U145" i="8" s="1"/>
  <c r="R141" i="8"/>
  <c r="U141" i="8" s="1"/>
  <c r="T138" i="8"/>
  <c r="R149" i="8"/>
  <c r="U149" i="8" s="1"/>
  <c r="T146" i="8"/>
  <c r="W146" i="8" s="1"/>
  <c r="T142" i="8"/>
  <c r="W142" i="8" s="1"/>
  <c r="R139" i="8"/>
  <c r="U139" i="8" s="1"/>
  <c r="R115" i="8"/>
  <c r="U115" i="8" s="1"/>
  <c r="R128" i="8"/>
  <c r="U128" i="8" s="1"/>
  <c r="T400" i="8"/>
  <c r="W400" i="8" s="1"/>
  <c r="M58" i="96"/>
  <c r="T199" i="8"/>
  <c r="T211" i="8"/>
  <c r="W211" i="8" s="1"/>
  <c r="T205" i="8"/>
  <c r="W205" i="8" s="1"/>
  <c r="T201" i="8"/>
  <c r="W201" i="8" s="1"/>
  <c r="K37" i="96"/>
  <c r="R325" i="8"/>
  <c r="U325" i="8" s="1"/>
  <c r="T315" i="8"/>
  <c r="W315" i="8" s="1"/>
  <c r="T271" i="8"/>
  <c r="W271" i="8" s="1"/>
  <c r="R359" i="8"/>
  <c r="U359" i="8" s="1"/>
  <c r="R351" i="8"/>
  <c r="U351" i="8" s="1"/>
  <c r="R345" i="8"/>
  <c r="U345" i="8" s="1"/>
  <c r="R353" i="8"/>
  <c r="U353" i="8" s="1"/>
  <c r="T346" i="8"/>
  <c r="W346" i="8" s="1"/>
  <c r="R244" i="8"/>
  <c r="U244" i="8" s="1"/>
  <c r="R246" i="8"/>
  <c r="U246" i="8" s="1"/>
  <c r="R240" i="8"/>
  <c r="U240" i="8" s="1"/>
  <c r="R189" i="8"/>
  <c r="U189" i="8" s="1"/>
  <c r="R185" i="8"/>
  <c r="U185" i="8" s="1"/>
  <c r="R179" i="8"/>
  <c r="U179" i="8" s="1"/>
  <c r="T190" i="8"/>
  <c r="W190" i="8" s="1"/>
  <c r="T186" i="8"/>
  <c r="W186" i="8" s="1"/>
  <c r="R183" i="8"/>
  <c r="U183" i="8" s="1"/>
  <c r="T180" i="8"/>
  <c r="O91" i="8"/>
  <c r="T264" i="8"/>
  <c r="T268" i="8"/>
  <c r="W268" i="8" s="1"/>
  <c r="T272" i="8"/>
  <c r="T275" i="8"/>
  <c r="W275" i="8" s="1"/>
  <c r="O175" i="8"/>
  <c r="R163" i="8"/>
  <c r="U163" i="8" s="1"/>
  <c r="R400" i="9"/>
  <c r="U400" i="9" s="1"/>
  <c r="O406" i="9"/>
  <c r="T366" i="9"/>
  <c r="Q364" i="9"/>
  <c r="R350" i="9"/>
  <c r="U350" i="9" s="1"/>
  <c r="W328" i="9"/>
  <c r="Q301" i="9"/>
  <c r="O280" i="9"/>
  <c r="R180" i="9"/>
  <c r="Q196" i="9"/>
  <c r="R136" i="9"/>
  <c r="T120" i="9"/>
  <c r="Q112" i="9"/>
  <c r="T82" i="9"/>
  <c r="T91" i="9" s="1"/>
  <c r="R39" i="9"/>
  <c r="O112" i="10"/>
  <c r="T387" i="11"/>
  <c r="R367" i="11"/>
  <c r="T241" i="11"/>
  <c r="T415" i="12"/>
  <c r="W415" i="12" s="1"/>
  <c r="W427" i="12" s="1"/>
  <c r="T327" i="12"/>
  <c r="Q217" i="12"/>
  <c r="R136" i="12"/>
  <c r="O70" i="12"/>
  <c r="R16" i="12"/>
  <c r="O406" i="13"/>
  <c r="T368" i="13"/>
  <c r="W368" i="13" s="1"/>
  <c r="R354" i="13"/>
  <c r="O322" i="13"/>
  <c r="Q196" i="13"/>
  <c r="T113" i="13"/>
  <c r="Q133" i="13"/>
  <c r="O112" i="13"/>
  <c r="R18" i="13"/>
  <c r="Q385" i="14"/>
  <c r="O364" i="14"/>
  <c r="R348" i="14"/>
  <c r="Q301" i="14"/>
  <c r="R157" i="14"/>
  <c r="R138" i="14"/>
  <c r="U138" i="14" s="1"/>
  <c r="Q343" i="15"/>
  <c r="T302" i="15"/>
  <c r="Q322" i="15"/>
  <c r="T281" i="15"/>
  <c r="Q301" i="15"/>
  <c r="O280" i="15"/>
  <c r="O238" i="15"/>
  <c r="O196" i="15"/>
  <c r="R117" i="15"/>
  <c r="U117" i="15" s="1"/>
  <c r="U133" i="15" s="1"/>
  <c r="R92" i="15"/>
  <c r="Q112" i="15"/>
  <c r="T71" i="15"/>
  <c r="Q91" i="15"/>
  <c r="O70" i="15"/>
  <c r="T11" i="15"/>
  <c r="T28" i="15" s="1"/>
  <c r="R386" i="16"/>
  <c r="T365" i="16"/>
  <c r="T344" i="16"/>
  <c r="W344" i="16" s="1"/>
  <c r="R304" i="16"/>
  <c r="R243" i="16"/>
  <c r="R259" i="16" s="1"/>
  <c r="O259" i="16"/>
  <c r="T221" i="16"/>
  <c r="T181" i="16"/>
  <c r="W181" i="16" s="1"/>
  <c r="Q154" i="16"/>
  <c r="R117" i="16"/>
  <c r="O133" i="16"/>
  <c r="O91" i="16"/>
  <c r="O70" i="16"/>
  <c r="T408" i="17"/>
  <c r="O427" i="17"/>
  <c r="T198" i="17"/>
  <c r="T217" i="17" s="1"/>
  <c r="T156" i="17"/>
  <c r="O175" i="17"/>
  <c r="O364" i="18"/>
  <c r="O259" i="18"/>
  <c r="Q238" i="18"/>
  <c r="O238" i="18"/>
  <c r="R96" i="18"/>
  <c r="O91" i="18"/>
  <c r="T74" i="18"/>
  <c r="W74" i="18" s="1"/>
  <c r="O49" i="18"/>
  <c r="T8" i="18"/>
  <c r="R325" i="19"/>
  <c r="Q259" i="19"/>
  <c r="Q196" i="19"/>
  <c r="O175" i="19"/>
  <c r="T92" i="19"/>
  <c r="Q70" i="19"/>
  <c r="T29" i="19"/>
  <c r="Q385" i="20"/>
  <c r="O259" i="20"/>
  <c r="T218" i="20"/>
  <c r="R199" i="20"/>
  <c r="U199" i="20" s="1"/>
  <c r="R178" i="20"/>
  <c r="U136" i="20"/>
  <c r="U154" i="20" s="1"/>
  <c r="O133" i="20"/>
  <c r="Q49" i="20"/>
  <c r="O427" i="21"/>
  <c r="Q406" i="21"/>
  <c r="O385" i="21"/>
  <c r="O364" i="21"/>
  <c r="Q238" i="21"/>
  <c r="Q133" i="21"/>
  <c r="Q112" i="21"/>
  <c r="R32" i="21"/>
  <c r="Q28" i="21"/>
  <c r="R352" i="22"/>
  <c r="R327" i="22"/>
  <c r="U327" i="22" s="1"/>
  <c r="T294" i="22"/>
  <c r="T222" i="22"/>
  <c r="T238" i="22" s="1"/>
  <c r="R263" i="8"/>
  <c r="R267" i="8"/>
  <c r="R271" i="8"/>
  <c r="U271" i="8" s="1"/>
  <c r="Q427" i="8"/>
  <c r="O301" i="8"/>
  <c r="W267" i="8"/>
  <c r="R209" i="8"/>
  <c r="R123" i="8"/>
  <c r="U123" i="8" s="1"/>
  <c r="R56" i="8"/>
  <c r="U56" i="8" s="1"/>
  <c r="T29" i="8"/>
  <c r="T49" i="8" s="1"/>
  <c r="R10" i="8"/>
  <c r="Q28" i="8"/>
  <c r="T408" i="9"/>
  <c r="W408" i="9" s="1"/>
  <c r="T323" i="9"/>
  <c r="T343" i="9" s="1"/>
  <c r="W240" i="9"/>
  <c r="T242" i="9"/>
  <c r="W239" i="9"/>
  <c r="O196" i="9"/>
  <c r="R188" i="9"/>
  <c r="U188" i="9" s="1"/>
  <c r="Q154" i="9"/>
  <c r="R98" i="9"/>
  <c r="T53" i="9"/>
  <c r="T70" i="9" s="1"/>
  <c r="Q49" i="9"/>
  <c r="T303" i="10"/>
  <c r="Q322" i="10"/>
  <c r="O301" i="10"/>
  <c r="R58" i="10"/>
  <c r="Q427" i="11"/>
  <c r="R409" i="11"/>
  <c r="T261" i="11"/>
  <c r="R135" i="11"/>
  <c r="R40" i="11"/>
  <c r="R387" i="12"/>
  <c r="T329" i="12"/>
  <c r="W329" i="12" s="1"/>
  <c r="W305" i="12"/>
  <c r="W322" i="12" s="1"/>
  <c r="R182" i="12"/>
  <c r="R106" i="12"/>
  <c r="R52" i="12"/>
  <c r="T29" i="12"/>
  <c r="T372" i="13"/>
  <c r="Q364" i="13"/>
  <c r="T242" i="13"/>
  <c r="T198" i="13"/>
  <c r="W198" i="13" s="1"/>
  <c r="R136" i="13"/>
  <c r="O70" i="13"/>
  <c r="Q28" i="13"/>
  <c r="O406" i="14"/>
  <c r="Q364" i="14"/>
  <c r="T326" i="14"/>
  <c r="T281" i="14"/>
  <c r="W281" i="14" s="1"/>
  <c r="R178" i="14"/>
  <c r="U178" i="14" s="1"/>
  <c r="Q175" i="14"/>
  <c r="R117" i="14"/>
  <c r="T71" i="14"/>
  <c r="Q70" i="14"/>
  <c r="Q49" i="14"/>
  <c r="Q385" i="15"/>
  <c r="R344" i="15"/>
  <c r="Q364" i="15"/>
  <c r="T323" i="15"/>
  <c r="R260" i="15"/>
  <c r="U260" i="15" s="1"/>
  <c r="R243" i="15"/>
  <c r="U243" i="15" s="1"/>
  <c r="U259" i="15" s="1"/>
  <c r="Q259" i="15"/>
  <c r="R218" i="15"/>
  <c r="Q238" i="15"/>
  <c r="Q154" i="15"/>
  <c r="Q133" i="15"/>
  <c r="R50" i="15"/>
  <c r="U50" i="15" s="1"/>
  <c r="R33" i="15"/>
  <c r="U33" i="15" s="1"/>
  <c r="Q49" i="15"/>
  <c r="T386" i="16"/>
  <c r="T323" i="16"/>
  <c r="U304" i="16"/>
  <c r="O301" i="16"/>
  <c r="O280" i="16"/>
  <c r="Q259" i="16"/>
  <c r="R209" i="16"/>
  <c r="R217" i="16" s="1"/>
  <c r="R176" i="16"/>
  <c r="R196" i="16" s="1"/>
  <c r="Q175" i="16"/>
  <c r="T134" i="16"/>
  <c r="W134" i="16" s="1"/>
  <c r="Q133" i="16"/>
  <c r="T282" i="17"/>
  <c r="T240" i="17"/>
  <c r="T302" i="18"/>
  <c r="Q259" i="18"/>
  <c r="R241" i="18"/>
  <c r="Q217" i="18"/>
  <c r="W118" i="18"/>
  <c r="W133" i="18" s="1"/>
  <c r="T50" i="18"/>
  <c r="T30" i="18"/>
  <c r="W30" i="18" s="1"/>
  <c r="Q28" i="18"/>
  <c r="R390" i="19"/>
  <c r="U390" i="19" s="1"/>
  <c r="R348" i="19"/>
  <c r="U348" i="19" s="1"/>
  <c r="Q301" i="19"/>
  <c r="O301" i="19"/>
  <c r="Q238" i="19"/>
  <c r="U222" i="19"/>
  <c r="R220" i="19"/>
  <c r="Q175" i="19"/>
  <c r="R157" i="19"/>
  <c r="O133" i="19"/>
  <c r="O91" i="19"/>
  <c r="O28" i="19"/>
  <c r="T367" i="20"/>
  <c r="R359" i="20"/>
  <c r="U359" i="20" s="1"/>
  <c r="R323" i="20"/>
  <c r="R260" i="20"/>
  <c r="U260" i="20" s="1"/>
  <c r="R245" i="20"/>
  <c r="U245" i="20" s="1"/>
  <c r="Q259" i="20"/>
  <c r="O175" i="20"/>
  <c r="R115" i="20"/>
  <c r="Q133" i="20"/>
  <c r="O49" i="20"/>
  <c r="Q28" i="20"/>
  <c r="O406" i="21"/>
  <c r="R367" i="21"/>
  <c r="U367" i="21" s="1"/>
  <c r="U385" i="21" s="1"/>
  <c r="O343" i="21"/>
  <c r="Q343" i="21"/>
  <c r="Q301" i="21"/>
  <c r="Q259" i="21"/>
  <c r="R218" i="21"/>
  <c r="T198" i="21"/>
  <c r="O133" i="21"/>
  <c r="R102" i="21"/>
  <c r="U102" i="21" s="1"/>
  <c r="R373" i="22"/>
  <c r="Q343" i="22"/>
  <c r="R244" i="22"/>
  <c r="U244" i="22" s="1"/>
  <c r="W222" i="22"/>
  <c r="W238" i="22" s="1"/>
  <c r="T180" i="22"/>
  <c r="R113" i="22"/>
  <c r="Q70" i="22"/>
  <c r="T43" i="22"/>
  <c r="W43" i="22" s="1"/>
  <c r="W49" i="22" s="1"/>
  <c r="O364" i="9"/>
  <c r="O154" i="9"/>
  <c r="O91" i="9"/>
  <c r="W53" i="9"/>
  <c r="W70" i="9" s="1"/>
  <c r="Q385" i="10"/>
  <c r="W286" i="10"/>
  <c r="Q70" i="11"/>
  <c r="Q343" i="12"/>
  <c r="O301" i="12"/>
  <c r="O238" i="12"/>
  <c r="Q196" i="12"/>
  <c r="Q217" i="13"/>
  <c r="O196" i="13"/>
  <c r="Q49" i="13"/>
  <c r="O322" i="14"/>
  <c r="O280" i="14"/>
  <c r="Q154" i="14"/>
  <c r="Q112" i="14"/>
  <c r="Q427" i="15"/>
  <c r="Q406" i="15"/>
  <c r="Q196" i="15"/>
  <c r="Q427" i="16"/>
  <c r="T391" i="16"/>
  <c r="W391" i="16" s="1"/>
  <c r="Q385" i="16"/>
  <c r="Q364" i="16"/>
  <c r="Q238" i="16"/>
  <c r="O217" i="16"/>
  <c r="O175" i="16"/>
  <c r="O112" i="16"/>
  <c r="Q91" i="16"/>
  <c r="O91" i="17"/>
  <c r="O427" i="18"/>
  <c r="O343" i="18"/>
  <c r="O280" i="18"/>
  <c r="Q154" i="18"/>
  <c r="Q406" i="19"/>
  <c r="O217" i="19"/>
  <c r="O49" i="19"/>
  <c r="W10" i="19"/>
  <c r="W28" i="19" s="1"/>
  <c r="O406" i="20"/>
  <c r="Q406" i="20"/>
  <c r="O385" i="20"/>
  <c r="O217" i="20"/>
  <c r="Q196" i="20"/>
  <c r="Q154" i="20"/>
  <c r="O112" i="20"/>
  <c r="Q91" i="20"/>
  <c r="O70" i="20"/>
  <c r="Q70" i="20"/>
  <c r="W309" i="21"/>
  <c r="Q175" i="21"/>
  <c r="Q154" i="21"/>
  <c r="O49" i="21"/>
  <c r="R388" i="22"/>
  <c r="R316" i="22"/>
  <c r="U316" i="22" s="1"/>
  <c r="Q238" i="22"/>
  <c r="W138" i="22"/>
  <c r="Q112" i="22"/>
  <c r="R243" i="8"/>
  <c r="U243" i="8" s="1"/>
  <c r="T155" i="8"/>
  <c r="W155" i="8" s="1"/>
  <c r="T107" i="8"/>
  <c r="W107" i="8" s="1"/>
  <c r="O112" i="8"/>
  <c r="R409" i="9"/>
  <c r="R427" i="9" s="1"/>
  <c r="R266" i="9"/>
  <c r="R220" i="9"/>
  <c r="R184" i="9"/>
  <c r="U184" i="9" s="1"/>
  <c r="O49" i="9"/>
  <c r="R409" i="10"/>
  <c r="T386" i="10"/>
  <c r="Q406" i="10"/>
  <c r="R377" i="10"/>
  <c r="U377" i="10" s="1"/>
  <c r="T282" i="10"/>
  <c r="T116" i="10"/>
  <c r="W116" i="10" s="1"/>
  <c r="R31" i="10"/>
  <c r="R337" i="11"/>
  <c r="R283" i="11"/>
  <c r="W327" i="12"/>
  <c r="R283" i="12"/>
  <c r="U283" i="12" s="1"/>
  <c r="Q133" i="12"/>
  <c r="T82" i="12"/>
  <c r="W82" i="12" s="1"/>
  <c r="T74" i="12"/>
  <c r="W74" i="12" s="1"/>
  <c r="O28" i="12"/>
  <c r="T410" i="13"/>
  <c r="T427" i="13" s="1"/>
  <c r="O364" i="13"/>
  <c r="Q301" i="13"/>
  <c r="O238" i="13"/>
  <c r="R182" i="13"/>
  <c r="U182" i="13" s="1"/>
  <c r="R186" i="13"/>
  <c r="U186" i="13" s="1"/>
  <c r="O154" i="13"/>
  <c r="R100" i="13"/>
  <c r="Q112" i="13"/>
  <c r="T71" i="13"/>
  <c r="T30" i="13"/>
  <c r="O28" i="13"/>
  <c r="R270" i="14"/>
  <c r="Q280" i="14"/>
  <c r="R220" i="14"/>
  <c r="O154" i="14"/>
  <c r="Q133" i="14"/>
  <c r="Q91" i="14"/>
  <c r="Q28" i="14"/>
  <c r="O322" i="15"/>
  <c r="Q280" i="15"/>
  <c r="Q217" i="15"/>
  <c r="Q175" i="15"/>
  <c r="O112" i="15"/>
  <c r="Q70" i="15"/>
  <c r="Q28" i="15"/>
  <c r="O28" i="15"/>
  <c r="Q406" i="16"/>
  <c r="O406" i="16"/>
  <c r="Q343" i="16"/>
  <c r="Q301" i="16"/>
  <c r="Q280" i="16"/>
  <c r="Q217" i="16"/>
  <c r="O196" i="16"/>
  <c r="Q196" i="16"/>
  <c r="U176" i="16"/>
  <c r="U196" i="16" s="1"/>
  <c r="Q112" i="16"/>
  <c r="O343" i="17"/>
  <c r="O259" i="17"/>
  <c r="O385" i="18"/>
  <c r="R325" i="18"/>
  <c r="O301" i="18"/>
  <c r="T176" i="18"/>
  <c r="O364" i="19"/>
  <c r="O322" i="19"/>
  <c r="Q322" i="19"/>
  <c r="Q280" i="19"/>
  <c r="O280" i="19"/>
  <c r="O259" i="19"/>
  <c r="Q217" i="19"/>
  <c r="U178" i="19"/>
  <c r="R136" i="19"/>
  <c r="R154" i="19" s="1"/>
  <c r="Q154" i="19"/>
  <c r="O112" i="19"/>
  <c r="O70" i="19"/>
  <c r="Q28" i="19"/>
  <c r="O427" i="20"/>
  <c r="R304" i="20"/>
  <c r="O301" i="20"/>
  <c r="O196" i="20"/>
  <c r="Q175" i="20"/>
  <c r="O154" i="20"/>
  <c r="Q112" i="20"/>
  <c r="O91" i="20"/>
  <c r="R73" i="20"/>
  <c r="O28" i="20"/>
  <c r="U411" i="21"/>
  <c r="U427" i="21" s="1"/>
  <c r="Q427" i="21"/>
  <c r="Q364" i="21"/>
  <c r="O259" i="21"/>
  <c r="Q196" i="21"/>
  <c r="R176" i="21"/>
  <c r="R196" i="21" s="1"/>
  <c r="O175" i="21"/>
  <c r="Q70" i="21"/>
  <c r="Q49" i="21"/>
  <c r="O385" i="22"/>
  <c r="O364" i="22"/>
  <c r="B5" i="92"/>
  <c r="O30" i="112"/>
  <c r="O27" i="112"/>
  <c r="O23" i="112"/>
  <c r="O15" i="112"/>
  <c r="O7" i="112"/>
  <c r="O9" i="101"/>
  <c r="O19" i="105"/>
  <c r="O30" i="101"/>
  <c r="O6" i="103"/>
  <c r="O7" i="101"/>
  <c r="D5" i="103"/>
  <c r="O24" i="103"/>
  <c r="O27" i="103"/>
  <c r="O21" i="101"/>
  <c r="O26" i="101"/>
  <c r="O17" i="101"/>
  <c r="K6" i="98"/>
  <c r="O19" i="112"/>
  <c r="H5" i="105"/>
  <c r="K68" i="98" s="1"/>
  <c r="O18" i="101"/>
  <c r="O14" i="101"/>
  <c r="O15" i="105"/>
  <c r="O22" i="101"/>
  <c r="D5" i="101"/>
  <c r="B5" i="101"/>
  <c r="H5" i="101"/>
  <c r="N68" i="98" s="1"/>
  <c r="O29" i="101"/>
  <c r="K5" i="101"/>
  <c r="O16" i="103"/>
  <c r="O11" i="105"/>
  <c r="E5" i="105"/>
  <c r="K37" i="98" s="1"/>
  <c r="O20" i="101"/>
  <c r="O27" i="105"/>
  <c r="O22" i="105"/>
  <c r="O19" i="101"/>
  <c r="G5" i="112"/>
  <c r="O8" i="112"/>
  <c r="O24" i="112"/>
  <c r="O17" i="112"/>
  <c r="O16" i="112"/>
  <c r="O13" i="112"/>
  <c r="E5" i="112"/>
  <c r="O21" i="112"/>
  <c r="M5" i="112"/>
  <c r="K5" i="112"/>
  <c r="H5" i="112"/>
  <c r="J5" i="112"/>
  <c r="W103" i="113"/>
  <c r="X103" i="113"/>
  <c r="V103" i="113"/>
  <c r="O6" i="112"/>
  <c r="D5" i="92"/>
  <c r="O17" i="105"/>
  <c r="O28" i="103"/>
  <c r="O8" i="103"/>
  <c r="O28" i="101"/>
  <c r="O25" i="101"/>
  <c r="O18" i="105"/>
  <c r="O25" i="105"/>
  <c r="O26" i="105"/>
  <c r="O19" i="103"/>
  <c r="J5" i="101"/>
  <c r="P68" i="98" s="1"/>
  <c r="P51" i="98"/>
  <c r="E5" i="101"/>
  <c r="N37" i="98" s="1"/>
  <c r="O13" i="101"/>
  <c r="O14" i="105"/>
  <c r="O30" i="105"/>
  <c r="O13" i="103"/>
  <c r="O24" i="101"/>
  <c r="O27" i="101"/>
  <c r="O16" i="101"/>
  <c r="B5" i="105"/>
  <c r="U406" i="20"/>
  <c r="W427" i="19"/>
  <c r="U301" i="22"/>
  <c r="W196" i="21"/>
  <c r="U70" i="22"/>
  <c r="W28" i="20"/>
  <c r="U70" i="17"/>
  <c r="U28" i="18"/>
  <c r="W364" i="22"/>
  <c r="U91" i="21"/>
  <c r="U259" i="21"/>
  <c r="W322" i="21"/>
  <c r="W28" i="17"/>
  <c r="W259" i="14"/>
  <c r="W91" i="22"/>
  <c r="W154" i="22"/>
  <c r="W112" i="14"/>
  <c r="W175" i="12"/>
  <c r="U280" i="21"/>
  <c r="W70" i="17"/>
  <c r="U28" i="21"/>
  <c r="W154" i="15"/>
  <c r="U112" i="21"/>
  <c r="W280" i="21"/>
  <c r="W343" i="19"/>
  <c r="W323" i="22"/>
  <c r="W343" i="22" s="1"/>
  <c r="O30" i="103"/>
  <c r="O26" i="103"/>
  <c r="K5" i="105"/>
  <c r="W281" i="21"/>
  <c r="W301" i="21" s="1"/>
  <c r="T133" i="20"/>
  <c r="U165" i="16"/>
  <c r="U175" i="16" s="1"/>
  <c r="T364" i="20"/>
  <c r="T364" i="19"/>
  <c r="W176" i="19"/>
  <c r="W196" i="19" s="1"/>
  <c r="W407" i="18"/>
  <c r="W427" i="18" s="1"/>
  <c r="T427" i="21"/>
  <c r="T175" i="22"/>
  <c r="W386" i="22"/>
  <c r="W406" i="22" s="1"/>
  <c r="T322" i="20"/>
  <c r="U344" i="11"/>
  <c r="U364" i="11" s="1"/>
  <c r="U281" i="20"/>
  <c r="U301" i="20" s="1"/>
  <c r="U113" i="19"/>
  <c r="U133" i="19" s="1"/>
  <c r="U281" i="12"/>
  <c r="W197" i="20"/>
  <c r="W217" i="20" s="1"/>
  <c r="R259" i="15"/>
  <c r="R280" i="8"/>
  <c r="W407" i="9"/>
  <c r="W380" i="13"/>
  <c r="W218" i="15"/>
  <c r="W238" i="15" s="1"/>
  <c r="O10" i="103"/>
  <c r="S125" i="96"/>
  <c r="S215" i="96"/>
  <c r="M65" i="96"/>
  <c r="T246" i="96"/>
  <c r="O15" i="103"/>
  <c r="O17" i="103"/>
  <c r="S156" i="96"/>
  <c r="O9" i="103"/>
  <c r="O20" i="103"/>
  <c r="O8" i="105"/>
  <c r="O12" i="101"/>
  <c r="O23" i="103"/>
  <c r="J5" i="105"/>
  <c r="M68" i="98" s="1"/>
  <c r="R301" i="22"/>
  <c r="U369" i="16"/>
  <c r="U385" i="16" s="1"/>
  <c r="T427" i="12"/>
  <c r="K5" i="103"/>
  <c r="T245" i="96"/>
  <c r="T155" i="96"/>
  <c r="O12" i="103"/>
  <c r="O11" i="103"/>
  <c r="O14" i="103"/>
  <c r="K100" i="98"/>
  <c r="K99" i="98" s="1"/>
  <c r="O21" i="105"/>
  <c r="M5" i="105"/>
  <c r="T358" i="8"/>
  <c r="W358" i="8" s="1"/>
  <c r="T356" i="8"/>
  <c r="W356" i="8" s="1"/>
  <c r="T354" i="8"/>
  <c r="W354" i="8" s="1"/>
  <c r="T352" i="8"/>
  <c r="W352" i="8" s="1"/>
  <c r="T350" i="8"/>
  <c r="W350" i="8" s="1"/>
  <c r="T348" i="8"/>
  <c r="W348" i="8" s="1"/>
  <c r="R346" i="8"/>
  <c r="T345" i="8"/>
  <c r="W345" i="8" s="1"/>
  <c r="T347" i="8"/>
  <c r="W347" i="8" s="1"/>
  <c r="T344" i="8"/>
  <c r="R254" i="8"/>
  <c r="U254" i="8" s="1"/>
  <c r="R252" i="8"/>
  <c r="U252" i="8" s="1"/>
  <c r="R250" i="8"/>
  <c r="U250" i="8" s="1"/>
  <c r="R248" i="8"/>
  <c r="T253" i="8"/>
  <c r="W253" i="8" s="1"/>
  <c r="T251" i="8"/>
  <c r="W251" i="8" s="1"/>
  <c r="T249" i="8"/>
  <c r="W249" i="8" s="1"/>
  <c r="T247" i="8"/>
  <c r="W247" i="8" s="1"/>
  <c r="T245" i="8"/>
  <c r="W245" i="8" s="1"/>
  <c r="T243" i="8"/>
  <c r="W243" i="8" s="1"/>
  <c r="T241" i="8"/>
  <c r="W270" i="8"/>
  <c r="U269" i="8"/>
  <c r="O280" i="8"/>
  <c r="Q259" i="8"/>
  <c r="Q217" i="8"/>
  <c r="W372" i="13"/>
  <c r="O427" i="8"/>
  <c r="R333" i="8"/>
  <c r="U333" i="8" s="1"/>
  <c r="Q280" i="8"/>
  <c r="U209" i="8"/>
  <c r="W29" i="8"/>
  <c r="W49" i="8" s="1"/>
  <c r="W323" i="9"/>
  <c r="W343" i="9" s="1"/>
  <c r="W120" i="9"/>
  <c r="W305" i="11"/>
  <c r="W322" i="11" s="1"/>
  <c r="R422" i="8"/>
  <c r="U422" i="8" s="1"/>
  <c r="R411" i="8"/>
  <c r="U411" i="8" s="1"/>
  <c r="R420" i="8"/>
  <c r="U420" i="8" s="1"/>
  <c r="R418" i="8"/>
  <c r="U418" i="8" s="1"/>
  <c r="R416" i="8"/>
  <c r="U416" i="8" s="1"/>
  <c r="R414" i="8"/>
  <c r="U414" i="8" s="1"/>
  <c r="R412" i="8"/>
  <c r="U412" i="8" s="1"/>
  <c r="R410" i="8"/>
  <c r="U410" i="8" s="1"/>
  <c r="R408" i="8"/>
  <c r="R413" i="8"/>
  <c r="U413" i="8" s="1"/>
  <c r="T421" i="8"/>
  <c r="W421" i="8" s="1"/>
  <c r="T419" i="8"/>
  <c r="W419" i="8" s="1"/>
  <c r="T417" i="8"/>
  <c r="W417" i="8" s="1"/>
  <c r="T415" i="8"/>
  <c r="W415" i="8" s="1"/>
  <c r="T413" i="8"/>
  <c r="W413" i="8" s="1"/>
  <c r="T411" i="8"/>
  <c r="W411" i="8" s="1"/>
  <c r="T409" i="8"/>
  <c r="R212" i="8"/>
  <c r="U212" i="8" s="1"/>
  <c r="R210" i="8"/>
  <c r="U210" i="8" s="1"/>
  <c r="R208" i="8"/>
  <c r="U208" i="8" s="1"/>
  <c r="R206" i="8"/>
  <c r="U206" i="8" s="1"/>
  <c r="R204" i="8"/>
  <c r="U204" i="8" s="1"/>
  <c r="R202" i="8"/>
  <c r="U202" i="8" s="1"/>
  <c r="R200" i="8"/>
  <c r="U200" i="8" s="1"/>
  <c r="R198" i="8"/>
  <c r="Q385" i="8"/>
  <c r="U267" i="8"/>
  <c r="W264" i="8"/>
  <c r="U263" i="8"/>
  <c r="Q238" i="8"/>
  <c r="O238" i="8"/>
  <c r="U409" i="9"/>
  <c r="U427" i="9" s="1"/>
  <c r="W82" i="9"/>
  <c r="W91" i="9" s="1"/>
  <c r="Q406" i="8"/>
  <c r="W388" i="8"/>
  <c r="R401" i="8"/>
  <c r="U401" i="8" s="1"/>
  <c r="R399" i="8"/>
  <c r="U399" i="8" s="1"/>
  <c r="R397" i="8"/>
  <c r="U397" i="8" s="1"/>
  <c r="R395" i="8"/>
  <c r="U395" i="8" s="1"/>
  <c r="R393" i="8"/>
  <c r="U393" i="8" s="1"/>
  <c r="R391" i="8"/>
  <c r="U391" i="8" s="1"/>
  <c r="R389" i="8"/>
  <c r="U389" i="8" s="1"/>
  <c r="R387" i="8"/>
  <c r="T365" i="8"/>
  <c r="R367" i="8"/>
  <c r="U367" i="8" s="1"/>
  <c r="T379" i="8"/>
  <c r="W379" i="8" s="1"/>
  <c r="T377" i="8"/>
  <c r="W377" i="8" s="1"/>
  <c r="T375" i="8"/>
  <c r="W375" i="8" s="1"/>
  <c r="T373" i="8"/>
  <c r="W373" i="8" s="1"/>
  <c r="T371" i="8"/>
  <c r="W371" i="8" s="1"/>
  <c r="T369" i="8"/>
  <c r="W369" i="8" s="1"/>
  <c r="T367" i="8"/>
  <c r="W367" i="8" s="1"/>
  <c r="R380" i="8"/>
  <c r="U380" i="8" s="1"/>
  <c r="R378" i="8"/>
  <c r="U378" i="8" s="1"/>
  <c r="R376" i="8"/>
  <c r="U376" i="8" s="1"/>
  <c r="R374" i="8"/>
  <c r="U374" i="8" s="1"/>
  <c r="R372" i="8"/>
  <c r="U372" i="8" s="1"/>
  <c r="R370" i="8"/>
  <c r="U370" i="8" s="1"/>
  <c r="R368" i="8"/>
  <c r="U368" i="8" s="1"/>
  <c r="R366" i="8"/>
  <c r="R338" i="8"/>
  <c r="U338" i="8" s="1"/>
  <c r="R336" i="8"/>
  <c r="U336" i="8" s="1"/>
  <c r="R334" i="8"/>
  <c r="U334" i="8" s="1"/>
  <c r="R332" i="8"/>
  <c r="U332" i="8" s="1"/>
  <c r="R330" i="8"/>
  <c r="U330" i="8" s="1"/>
  <c r="R328" i="8"/>
  <c r="U328" i="8" s="1"/>
  <c r="R326" i="8"/>
  <c r="U326" i="8" s="1"/>
  <c r="R324" i="8"/>
  <c r="T337" i="8"/>
  <c r="W337" i="8" s="1"/>
  <c r="T335" i="8"/>
  <c r="W335" i="8" s="1"/>
  <c r="T333" i="8"/>
  <c r="W333" i="8" s="1"/>
  <c r="T331" i="8"/>
  <c r="W331" i="8" s="1"/>
  <c r="T329" i="8"/>
  <c r="W329" i="8" s="1"/>
  <c r="T327" i="8"/>
  <c r="W327" i="8" s="1"/>
  <c r="T325" i="8"/>
  <c r="T295" i="8"/>
  <c r="W295" i="8" s="1"/>
  <c r="T293" i="8"/>
  <c r="W293" i="8" s="1"/>
  <c r="T291" i="8"/>
  <c r="W291" i="8" s="1"/>
  <c r="T289" i="8"/>
  <c r="W289" i="8" s="1"/>
  <c r="T287" i="8"/>
  <c r="W287" i="8" s="1"/>
  <c r="T285" i="8"/>
  <c r="W285" i="8" s="1"/>
  <c r="T283" i="8"/>
  <c r="R296" i="8"/>
  <c r="U296" i="8" s="1"/>
  <c r="R294" i="8"/>
  <c r="U294" i="8" s="1"/>
  <c r="R292" i="8"/>
  <c r="U292" i="8" s="1"/>
  <c r="R290" i="8"/>
  <c r="U290" i="8" s="1"/>
  <c r="R288" i="8"/>
  <c r="U288" i="8" s="1"/>
  <c r="R286" i="8"/>
  <c r="U286" i="8" s="1"/>
  <c r="R284" i="8"/>
  <c r="U284" i="8" s="1"/>
  <c r="R282" i="8"/>
  <c r="T169" i="8"/>
  <c r="W169" i="8" s="1"/>
  <c r="T167" i="8"/>
  <c r="W167" i="8" s="1"/>
  <c r="T165" i="8"/>
  <c r="W165" i="8" s="1"/>
  <c r="T163" i="8"/>
  <c r="W163" i="8" s="1"/>
  <c r="T161" i="8"/>
  <c r="W161" i="8" s="1"/>
  <c r="T159" i="8"/>
  <c r="W159" i="8" s="1"/>
  <c r="T157" i="8"/>
  <c r="W392" i="8"/>
  <c r="O406" i="8"/>
  <c r="W272" i="8"/>
  <c r="O259" i="8"/>
  <c r="U225" i="8"/>
  <c r="U221" i="8"/>
  <c r="Q196" i="8"/>
  <c r="K58" i="96"/>
  <c r="K39" i="96"/>
  <c r="R167" i="8"/>
  <c r="U167" i="8" s="1"/>
  <c r="R161" i="8"/>
  <c r="T105" i="8"/>
  <c r="T112" i="8" s="1"/>
  <c r="R54" i="8"/>
  <c r="R346" i="9"/>
  <c r="R239" i="9"/>
  <c r="R73" i="9"/>
  <c r="R367" i="10"/>
  <c r="T325" i="12"/>
  <c r="T282" i="14"/>
  <c r="R281" i="14"/>
  <c r="Q238" i="14"/>
  <c r="Q217" i="14"/>
  <c r="U136" i="19"/>
  <c r="U154" i="19" s="1"/>
  <c r="U388" i="21"/>
  <c r="U406" i="21" s="1"/>
  <c r="T71" i="12"/>
  <c r="T197" i="13"/>
  <c r="O196" i="14"/>
  <c r="O175" i="14"/>
  <c r="W11" i="15"/>
  <c r="W28" i="15" s="1"/>
  <c r="W30" i="16"/>
  <c r="W49" i="16" s="1"/>
  <c r="W114" i="17"/>
  <c r="W133" i="17" s="1"/>
  <c r="U262" i="19"/>
  <c r="U280" i="19" s="1"/>
  <c r="R398" i="9"/>
  <c r="T113" i="9"/>
  <c r="R371" i="10"/>
  <c r="U371" i="10" s="1"/>
  <c r="T114" i="10"/>
  <c r="T133" i="10" s="1"/>
  <c r="T337" i="12"/>
  <c r="W337" i="12" s="1"/>
  <c r="T335" i="12"/>
  <c r="W335" i="12" s="1"/>
  <c r="T333" i="12"/>
  <c r="W333" i="12" s="1"/>
  <c r="T331" i="12"/>
  <c r="W331" i="12" s="1"/>
  <c r="Q259" i="14"/>
  <c r="Q196" i="14"/>
  <c r="W409" i="22"/>
  <c r="W427" i="22" s="1"/>
  <c r="R249" i="8"/>
  <c r="U249" i="8" s="1"/>
  <c r="R211" i="8"/>
  <c r="U211" i="8" s="1"/>
  <c r="R127" i="8"/>
  <c r="Q49" i="8"/>
  <c r="T114" i="9"/>
  <c r="W114" i="9" s="1"/>
  <c r="T78" i="12"/>
  <c r="W78" i="12" s="1"/>
  <c r="T76" i="12"/>
  <c r="W76" i="12" s="1"/>
  <c r="T200" i="13"/>
  <c r="W200" i="13" s="1"/>
  <c r="R178" i="13"/>
  <c r="O238" i="14"/>
  <c r="O217" i="14"/>
  <c r="W198" i="17"/>
  <c r="W217" i="17" s="1"/>
  <c r="U176" i="21"/>
  <c r="U196" i="21" s="1"/>
  <c r="R180" i="14"/>
  <c r="R196" i="14" s="1"/>
  <c r="T407" i="15"/>
  <c r="R285" i="15"/>
  <c r="R301" i="15" s="1"/>
  <c r="T267" i="15"/>
  <c r="W267" i="15" s="1"/>
  <c r="T261" i="15"/>
  <c r="T239" i="15"/>
  <c r="R176" i="15"/>
  <c r="T155" i="15"/>
  <c r="T92" i="15"/>
  <c r="R75" i="15"/>
  <c r="R91" i="15" s="1"/>
  <c r="T57" i="15"/>
  <c r="W57" i="15" s="1"/>
  <c r="T51" i="15"/>
  <c r="R43" i="15"/>
  <c r="U43" i="15" s="1"/>
  <c r="R41" i="15"/>
  <c r="T29" i="15"/>
  <c r="T355" i="16"/>
  <c r="T364" i="16" s="1"/>
  <c r="T267" i="16"/>
  <c r="W267" i="16" s="1"/>
  <c r="W280" i="16" s="1"/>
  <c r="R218" i="16"/>
  <c r="T93" i="16"/>
  <c r="R64" i="16"/>
  <c r="U64" i="16" s="1"/>
  <c r="O175" i="18"/>
  <c r="R155" i="18"/>
  <c r="R175" i="18" s="1"/>
  <c r="O238" i="19"/>
  <c r="O196" i="19"/>
  <c r="R274" i="20"/>
  <c r="R33" i="20"/>
  <c r="R136" i="21"/>
  <c r="T9" i="21"/>
  <c r="T28" i="21" s="1"/>
  <c r="R308" i="22"/>
  <c r="U308" i="22" s="1"/>
  <c r="U322" i="22" s="1"/>
  <c r="R239" i="22"/>
  <c r="B12" i="98"/>
  <c r="B11" i="96" s="1"/>
  <c r="D26" i="98"/>
  <c r="D25" i="96" s="1"/>
  <c r="D22" i="98"/>
  <c r="D21" i="96" s="1"/>
  <c r="D18" i="98"/>
  <c r="D17" i="96" s="1"/>
  <c r="D14" i="98"/>
  <c r="D13" i="96" s="1"/>
  <c r="D10" i="98"/>
  <c r="D9" i="96" s="1"/>
  <c r="R136" i="14"/>
  <c r="T29" i="14"/>
  <c r="R327" i="15"/>
  <c r="T275" i="15"/>
  <c r="W275" i="15" s="1"/>
  <c r="T273" i="15"/>
  <c r="W273" i="15" s="1"/>
  <c r="T271" i="15"/>
  <c r="W271" i="15" s="1"/>
  <c r="T269" i="15"/>
  <c r="W269" i="15" s="1"/>
  <c r="T113" i="15"/>
  <c r="T65" i="15"/>
  <c r="W65" i="15" s="1"/>
  <c r="T63" i="15"/>
  <c r="W63" i="15" s="1"/>
  <c r="T61" i="15"/>
  <c r="W61" i="15" s="1"/>
  <c r="T59" i="15"/>
  <c r="W59" i="15" s="1"/>
  <c r="R8" i="15"/>
  <c r="T302" i="16"/>
  <c r="R302" i="16"/>
  <c r="R285" i="16"/>
  <c r="T176" i="16"/>
  <c r="T155" i="16"/>
  <c r="R134" i="16"/>
  <c r="R58" i="16"/>
  <c r="T386" i="18"/>
  <c r="T71" i="18"/>
  <c r="T38" i="18"/>
  <c r="R388" i="19"/>
  <c r="R346" i="19"/>
  <c r="R180" i="19"/>
  <c r="R196" i="19" s="1"/>
  <c r="T113" i="19"/>
  <c r="R92" i="19"/>
  <c r="T71" i="19"/>
  <c r="R349" i="20"/>
  <c r="T325" i="20"/>
  <c r="R253" i="20"/>
  <c r="R209" i="20"/>
  <c r="T218" i="21"/>
  <c r="T135" i="21"/>
  <c r="T53" i="21"/>
  <c r="T70" i="21" s="1"/>
  <c r="B8" i="98"/>
  <c r="B7" i="96" s="1"/>
  <c r="B20" i="98"/>
  <c r="B19" i="96" s="1"/>
  <c r="P6" i="98"/>
  <c r="M6" i="98"/>
  <c r="B16" i="98"/>
  <c r="B15" i="96" s="1"/>
  <c r="N6" i="98"/>
  <c r="R262" i="15"/>
  <c r="R52" i="15"/>
  <c r="R287" i="16"/>
  <c r="U287" i="16" s="1"/>
  <c r="T135" i="16"/>
  <c r="R149" i="21"/>
  <c r="U149" i="21" s="1"/>
  <c r="R147" i="21"/>
  <c r="U147" i="21" s="1"/>
  <c r="R145" i="21"/>
  <c r="U145" i="21" s="1"/>
  <c r="R325" i="22"/>
  <c r="U325" i="22" s="1"/>
  <c r="R323" i="22"/>
  <c r="B24" i="98"/>
  <c r="B23" i="96" s="1"/>
  <c r="D8" i="98"/>
  <c r="D7" i="96" s="1"/>
  <c r="H6" i="98"/>
  <c r="B23" i="98"/>
  <c r="B22" i="96" s="1"/>
  <c r="M99" i="98"/>
  <c r="N99" i="98"/>
  <c r="P99" i="98"/>
  <c r="H99" i="98"/>
  <c r="J6" i="98"/>
  <c r="T66" i="96"/>
  <c r="D30" i="98"/>
  <c r="D29" i="96" s="1"/>
  <c r="B29" i="98"/>
  <c r="B28" i="96" s="1"/>
  <c r="B25" i="98"/>
  <c r="B24" i="96" s="1"/>
  <c r="B21" i="98"/>
  <c r="B20" i="96" s="1"/>
  <c r="B17" i="98"/>
  <c r="B16" i="96" s="1"/>
  <c r="B13" i="98"/>
  <c r="B12" i="96" s="1"/>
  <c r="B9" i="98"/>
  <c r="B8" i="96" s="1"/>
  <c r="H5" i="103"/>
  <c r="S35" i="96"/>
  <c r="J5" i="103"/>
  <c r="O22" i="103"/>
  <c r="G5" i="103"/>
  <c r="O25" i="103"/>
  <c r="M5" i="103"/>
  <c r="O7" i="103"/>
  <c r="M5" i="101"/>
  <c r="G5" i="101"/>
  <c r="P37" i="98" s="1"/>
  <c r="O15" i="101"/>
  <c r="D31" i="98"/>
  <c r="R31" i="98" s="1"/>
  <c r="D27" i="98"/>
  <c r="D26" i="96" s="1"/>
  <c r="D23" i="98"/>
  <c r="R23" i="98" s="1"/>
  <c r="D19" i="98"/>
  <c r="D18" i="96" s="1"/>
  <c r="D15" i="98"/>
  <c r="R15" i="98" s="1"/>
  <c r="D11" i="98"/>
  <c r="D10" i="96" s="1"/>
  <c r="B30" i="98"/>
  <c r="B29" i="96" s="1"/>
  <c r="B26" i="98"/>
  <c r="B25" i="96" s="1"/>
  <c r="B22" i="98"/>
  <c r="B21" i="96" s="1"/>
  <c r="B18" i="98"/>
  <c r="B17" i="96" s="1"/>
  <c r="B14" i="98"/>
  <c r="B13" i="96" s="1"/>
  <c r="B10" i="98"/>
  <c r="B9" i="96" s="1"/>
  <c r="S126" i="96"/>
  <c r="D7" i="98"/>
  <c r="R7" i="98" s="1"/>
  <c r="D28" i="98"/>
  <c r="D27" i="96" s="1"/>
  <c r="D24" i="98"/>
  <c r="D23" i="96" s="1"/>
  <c r="D20" i="98"/>
  <c r="R20" i="98" s="1"/>
  <c r="D16" i="98"/>
  <c r="R16" i="98" s="1"/>
  <c r="D12" i="98"/>
  <c r="R12" i="98" s="1"/>
  <c r="B31" i="98"/>
  <c r="B30" i="96" s="1"/>
  <c r="B27" i="98"/>
  <c r="B26" i="96" s="1"/>
  <c r="B19" i="98"/>
  <c r="B18" i="96" s="1"/>
  <c r="B11" i="98"/>
  <c r="B10" i="96" s="1"/>
  <c r="O155" i="96"/>
  <c r="O11" i="101"/>
  <c r="G5" i="105"/>
  <c r="M37" i="98" s="1"/>
  <c r="S155" i="96"/>
  <c r="E5" i="103"/>
  <c r="M74" i="98"/>
  <c r="O156" i="96"/>
  <c r="M40" i="98"/>
  <c r="T96" i="96"/>
  <c r="O96" i="96" s="1"/>
  <c r="B15" i="98"/>
  <c r="B14" i="96" s="1"/>
  <c r="D29" i="98"/>
  <c r="R29" i="98" s="1"/>
  <c r="D25" i="98"/>
  <c r="D24" i="96" s="1"/>
  <c r="D21" i="98"/>
  <c r="R21" i="98" s="1"/>
  <c r="D17" i="98"/>
  <c r="D16" i="96" s="1"/>
  <c r="D13" i="98"/>
  <c r="R13" i="98" s="1"/>
  <c r="B28" i="98"/>
  <c r="B27" i="96" s="1"/>
  <c r="G88" i="98"/>
  <c r="K25" i="92"/>
  <c r="E119" i="98" s="1"/>
  <c r="B119" i="98" s="1"/>
  <c r="G58" i="98"/>
  <c r="D58" i="98" s="1"/>
  <c r="G26" i="96" s="1"/>
  <c r="K22" i="92"/>
  <c r="E116" i="98" s="1"/>
  <c r="B116" i="98" s="1"/>
  <c r="E6" i="92"/>
  <c r="E27" i="92"/>
  <c r="E59" i="98" s="1"/>
  <c r="B59" i="98" s="1"/>
  <c r="E27" i="96" s="1"/>
  <c r="K8" i="92"/>
  <c r="G104" i="98"/>
  <c r="G74" i="98"/>
  <c r="G81" i="98"/>
  <c r="E11" i="92"/>
  <c r="G45" i="98"/>
  <c r="H8" i="92"/>
  <c r="H13" i="92"/>
  <c r="E12" i="92"/>
  <c r="E44" i="98" s="1"/>
  <c r="B44" i="98" s="1"/>
  <c r="E12" i="96" s="1"/>
  <c r="K27" i="92"/>
  <c r="E121" i="98" s="1"/>
  <c r="B121" i="98" s="1"/>
  <c r="G82" i="98"/>
  <c r="H20" i="92"/>
  <c r="E83" i="98" s="1"/>
  <c r="B83" i="98" s="1"/>
  <c r="H20" i="96" s="1"/>
  <c r="H29" i="92"/>
  <c r="E92" i="98" s="1"/>
  <c r="B92" i="98" s="1"/>
  <c r="H29" i="96" s="1"/>
  <c r="G112" i="98"/>
  <c r="H18" i="92"/>
  <c r="H9" i="92"/>
  <c r="H25" i="92"/>
  <c r="E88" i="98" s="1"/>
  <c r="B88" i="98" s="1"/>
  <c r="H25" i="96" s="1"/>
  <c r="G52" i="98"/>
  <c r="G113" i="98"/>
  <c r="G72" i="98"/>
  <c r="E22" i="92"/>
  <c r="E54" i="98" s="1"/>
  <c r="B54" i="98" s="1"/>
  <c r="E22" i="96" s="1"/>
  <c r="E29" i="92"/>
  <c r="E61" i="98" s="1"/>
  <c r="B61" i="98" s="1"/>
  <c r="E29" i="96" s="1"/>
  <c r="H30" i="92"/>
  <c r="E93" i="98" s="1"/>
  <c r="B93" i="98" s="1"/>
  <c r="H30" i="96" s="1"/>
  <c r="E28" i="92"/>
  <c r="E60" i="98" s="1"/>
  <c r="B60" i="98" s="1"/>
  <c r="E28" i="96" s="1"/>
  <c r="E8" i="92"/>
  <c r="K17" i="92"/>
  <c r="E111" i="98" s="1"/>
  <c r="B111" i="98" s="1"/>
  <c r="G57" i="98"/>
  <c r="D57" i="98" s="1"/>
  <c r="R57" i="98" s="1"/>
  <c r="H6" i="92"/>
  <c r="G70" i="98"/>
  <c r="G61" i="98"/>
  <c r="D61" i="98" s="1"/>
  <c r="R61" i="98" s="1"/>
  <c r="K30" i="92"/>
  <c r="E124" i="98" s="1"/>
  <c r="B124" i="98" s="1"/>
  <c r="H10" i="92"/>
  <c r="K28" i="92"/>
  <c r="E122" i="98" s="1"/>
  <c r="B122" i="98" s="1"/>
  <c r="G77" i="98"/>
  <c r="G73" i="98"/>
  <c r="E24" i="92"/>
  <c r="E56" i="98" s="1"/>
  <c r="B56" i="98" s="1"/>
  <c r="E24" i="96" s="1"/>
  <c r="E7" i="92"/>
  <c r="K10" i="92"/>
  <c r="E10" i="92"/>
  <c r="G69" i="98"/>
  <c r="E26" i="92"/>
  <c r="E58" i="98" s="1"/>
  <c r="B58" i="98" s="1"/>
  <c r="E26" i="96" s="1"/>
  <c r="G109" i="98"/>
  <c r="E18" i="92"/>
  <c r="H14" i="92"/>
  <c r="E77" i="98" s="1"/>
  <c r="B77" i="98" s="1"/>
  <c r="H14" i="96" s="1"/>
  <c r="H24" i="92"/>
  <c r="E87" i="98" s="1"/>
  <c r="B87" i="98" s="1"/>
  <c r="H24" i="96" s="1"/>
  <c r="K6" i="92"/>
  <c r="G108" i="98"/>
  <c r="K9" i="92"/>
  <c r="G76" i="98"/>
  <c r="K23" i="92"/>
  <c r="E117" i="98" s="1"/>
  <c r="B117" i="98" s="1"/>
  <c r="G56" i="98"/>
  <c r="H21" i="92"/>
  <c r="E84" i="98" s="1"/>
  <c r="B84" i="98" s="1"/>
  <c r="H21" i="96" s="1"/>
  <c r="G71" i="98"/>
  <c r="G84" i="98"/>
  <c r="E19" i="92"/>
  <c r="E51" i="98" s="1"/>
  <c r="B51" i="98" s="1"/>
  <c r="E19" i="96" s="1"/>
  <c r="G106" i="98"/>
  <c r="D106" i="98" s="1"/>
  <c r="M12" i="96" s="1"/>
  <c r="E15" i="92"/>
  <c r="E47" i="98" s="1"/>
  <c r="B47" i="98" s="1"/>
  <c r="E15" i="96" s="1"/>
  <c r="K21" i="92"/>
  <c r="E115" i="98" s="1"/>
  <c r="B115" i="98" s="1"/>
  <c r="E16" i="92"/>
  <c r="E48" i="98" s="1"/>
  <c r="B48" i="98" s="1"/>
  <c r="E16" i="96" s="1"/>
  <c r="G93" i="98"/>
  <c r="G46" i="98"/>
  <c r="D46" i="98" s="1"/>
  <c r="R46" i="98" s="1"/>
  <c r="H11" i="92"/>
  <c r="G90" i="98"/>
  <c r="G60" i="98"/>
  <c r="G110" i="98"/>
  <c r="G103" i="98"/>
  <c r="K12" i="92"/>
  <c r="E106" i="98" s="1"/>
  <c r="B106" i="98" s="1"/>
  <c r="G100" i="98"/>
  <c r="G107" i="98"/>
  <c r="H15" i="92"/>
  <c r="E78" i="98" s="1"/>
  <c r="B78" i="98" s="1"/>
  <c r="H15" i="96" s="1"/>
  <c r="E25" i="92"/>
  <c r="E57" i="98" s="1"/>
  <c r="B57" i="98" s="1"/>
  <c r="E25" i="96" s="1"/>
  <c r="E9" i="92"/>
  <c r="G92" i="98"/>
  <c r="G79" i="98"/>
  <c r="G78" i="98"/>
  <c r="E20" i="92"/>
  <c r="E52" i="98" s="1"/>
  <c r="B52" i="98" s="1"/>
  <c r="E20" i="96" s="1"/>
  <c r="G38" i="98"/>
  <c r="D38" i="98" s="1"/>
  <c r="G6" i="96" s="1"/>
  <c r="E30" i="92"/>
  <c r="E62" i="98" s="1"/>
  <c r="B62" i="98" s="1"/>
  <c r="E30" i="96" s="1"/>
  <c r="K14" i="92"/>
  <c r="E108" i="98" s="1"/>
  <c r="B108" i="98" s="1"/>
  <c r="K16" i="92"/>
  <c r="E110" i="98" s="1"/>
  <c r="B110" i="98" s="1"/>
  <c r="G83" i="98"/>
  <c r="K20" i="92"/>
  <c r="E114" i="98" s="1"/>
  <c r="B114" i="98" s="1"/>
  <c r="G105" i="98"/>
  <c r="G54" i="98"/>
  <c r="D54" i="98" s="1"/>
  <c r="E17" i="92"/>
  <c r="E49" i="98" s="1"/>
  <c r="B49" i="98" s="1"/>
  <c r="E17" i="96" s="1"/>
  <c r="K18" i="92"/>
  <c r="H16" i="92"/>
  <c r="E79" i="98" s="1"/>
  <c r="B79" i="98" s="1"/>
  <c r="H16" i="96" s="1"/>
  <c r="E13" i="92"/>
  <c r="K13" i="92"/>
  <c r="G91" i="98"/>
  <c r="H27" i="92"/>
  <c r="E90" i="98" s="1"/>
  <c r="B90" i="98" s="1"/>
  <c r="H27" i="96" s="1"/>
  <c r="G111" i="98"/>
  <c r="K15" i="92"/>
  <c r="E109" i="98" s="1"/>
  <c r="B109" i="98" s="1"/>
  <c r="E21" i="92"/>
  <c r="E53" i="98" s="1"/>
  <c r="B53" i="98" s="1"/>
  <c r="E21" i="96" s="1"/>
  <c r="G87" i="98"/>
  <c r="E14" i="92"/>
  <c r="E46" i="98" s="1"/>
  <c r="B46" i="98" s="1"/>
  <c r="E14" i="96" s="1"/>
  <c r="H12" i="92"/>
  <c r="E75" i="98" s="1"/>
  <c r="B75" i="98" s="1"/>
  <c r="H12" i="96" s="1"/>
  <c r="K19" i="92"/>
  <c r="E113" i="98" s="1"/>
  <c r="B113" i="98" s="1"/>
  <c r="G86" i="98"/>
  <c r="E23" i="92"/>
  <c r="E55" i="98" s="1"/>
  <c r="B55" i="98" s="1"/>
  <c r="E23" i="96" s="1"/>
  <c r="G80" i="98"/>
  <c r="H26" i="92"/>
  <c r="E89" i="98" s="1"/>
  <c r="B89" i="98" s="1"/>
  <c r="H26" i="96" s="1"/>
  <c r="H22" i="92"/>
  <c r="E85" i="98" s="1"/>
  <c r="B85" i="98" s="1"/>
  <c r="H22" i="96" s="1"/>
  <c r="K7" i="92"/>
  <c r="H19" i="92"/>
  <c r="E82" i="98" s="1"/>
  <c r="B82" i="98" s="1"/>
  <c r="H19" i="96" s="1"/>
  <c r="H7" i="92"/>
  <c r="K24" i="92"/>
  <c r="E118" i="98" s="1"/>
  <c r="B118" i="98" s="1"/>
  <c r="H23" i="92"/>
  <c r="E86" i="98" s="1"/>
  <c r="B86" i="98" s="1"/>
  <c r="H23" i="96" s="1"/>
  <c r="K11" i="92"/>
  <c r="H17" i="92"/>
  <c r="E80" i="98" s="1"/>
  <c r="B80" i="98" s="1"/>
  <c r="H17" i="96" s="1"/>
  <c r="G75" i="98"/>
  <c r="G85" i="98"/>
  <c r="H28" i="92"/>
  <c r="E91" i="98" s="1"/>
  <c r="B91" i="98" s="1"/>
  <c r="H28" i="96" s="1"/>
  <c r="K29" i="92"/>
  <c r="E123" i="98" s="1"/>
  <c r="B123" i="98" s="1"/>
  <c r="G55" i="98"/>
  <c r="G89" i="98"/>
  <c r="K26" i="92"/>
  <c r="E120" i="98" s="1"/>
  <c r="B120" i="98" s="1"/>
  <c r="O245" i="96"/>
  <c r="T126" i="96"/>
  <c r="O126" i="96" s="1"/>
  <c r="M56" i="96"/>
  <c r="T215" i="96"/>
  <c r="O215" i="96" s="1"/>
  <c r="T36" i="96"/>
  <c r="O36" i="96" s="1"/>
  <c r="S65" i="96"/>
  <c r="T216" i="96"/>
  <c r="O216" i="96" s="1"/>
  <c r="T125" i="96"/>
  <c r="O125" i="96" s="1"/>
  <c r="O66" i="96"/>
  <c r="A61" i="96" s="1"/>
  <c r="K52" i="96"/>
  <c r="E6" i="98"/>
  <c r="B7" i="98"/>
  <c r="O246" i="96"/>
  <c r="O95" i="96"/>
  <c r="G6" i="98"/>
  <c r="D9" i="98"/>
  <c r="O35" i="96"/>
  <c r="U175" i="12" l="1"/>
  <c r="W322" i="14"/>
  <c r="W238" i="13"/>
  <c r="U133" i="12"/>
  <c r="T427" i="16"/>
  <c r="U91" i="13"/>
  <c r="T280" i="22"/>
  <c r="O25" i="126"/>
  <c r="O26" i="126"/>
  <c r="O29" i="126"/>
  <c r="W70" i="13"/>
  <c r="W217" i="16"/>
  <c r="T91" i="17"/>
  <c r="W72" i="17"/>
  <c r="W91" i="17" s="1"/>
  <c r="W301" i="11"/>
  <c r="D83" i="98"/>
  <c r="J20" i="96" s="1"/>
  <c r="D110" i="98"/>
  <c r="M16" i="96" s="1"/>
  <c r="D116" i="98"/>
  <c r="R116" i="98" s="1"/>
  <c r="R343" i="14"/>
  <c r="U324" i="14"/>
  <c r="U343" i="14" s="1"/>
  <c r="W346" i="14"/>
  <c r="W364" i="14" s="1"/>
  <c r="T364" i="14"/>
  <c r="U240" i="13"/>
  <c r="U259" i="13" s="1"/>
  <c r="R259" i="13"/>
  <c r="W262" i="13"/>
  <c r="W280" i="13" s="1"/>
  <c r="T280" i="13"/>
  <c r="U284" i="13"/>
  <c r="U301" i="13" s="1"/>
  <c r="R301" i="13"/>
  <c r="W178" i="12"/>
  <c r="W196" i="12" s="1"/>
  <c r="T196" i="12"/>
  <c r="U200" i="12"/>
  <c r="U217" i="12" s="1"/>
  <c r="R217" i="12"/>
  <c r="U303" i="15"/>
  <c r="U322" i="15" s="1"/>
  <c r="R322" i="15"/>
  <c r="T238" i="13"/>
  <c r="R91" i="12"/>
  <c r="R385" i="14"/>
  <c r="R343" i="13"/>
  <c r="W270" i="14"/>
  <c r="W280" i="14" s="1"/>
  <c r="T280" i="14"/>
  <c r="U408" i="14"/>
  <c r="U427" i="14" s="1"/>
  <c r="R427" i="14"/>
  <c r="W10" i="13"/>
  <c r="W28" i="13" s="1"/>
  <c r="T28" i="13"/>
  <c r="W346" i="13"/>
  <c r="W364" i="13" s="1"/>
  <c r="T364" i="13"/>
  <c r="W262" i="12"/>
  <c r="W280" i="12" s="1"/>
  <c r="T280" i="12"/>
  <c r="U368" i="15"/>
  <c r="U385" i="15" s="1"/>
  <c r="R385" i="15"/>
  <c r="W346" i="15"/>
  <c r="W364" i="15" s="1"/>
  <c r="T364" i="15"/>
  <c r="R91" i="22"/>
  <c r="W343" i="10"/>
  <c r="T406" i="14"/>
  <c r="T217" i="16"/>
  <c r="T70" i="13"/>
  <c r="R133" i="13"/>
  <c r="R175" i="12"/>
  <c r="T154" i="15"/>
  <c r="R343" i="16"/>
  <c r="W199" i="15"/>
  <c r="W217" i="15" s="1"/>
  <c r="T217" i="15"/>
  <c r="W94" i="13"/>
  <c r="W112" i="13" s="1"/>
  <c r="T112" i="13"/>
  <c r="W138" i="13"/>
  <c r="W154" i="13" s="1"/>
  <c r="T154" i="13"/>
  <c r="R427" i="13"/>
  <c r="U408" i="13"/>
  <c r="U427" i="13" s="1"/>
  <c r="W10" i="12"/>
  <c r="W28" i="12" s="1"/>
  <c r="T28" i="12"/>
  <c r="U32" i="12"/>
  <c r="U49" i="12" s="1"/>
  <c r="R49" i="12"/>
  <c r="W49" i="11"/>
  <c r="U49" i="13"/>
  <c r="R364" i="16"/>
  <c r="R49" i="13"/>
  <c r="R91" i="13"/>
  <c r="T322" i="14"/>
  <c r="R259" i="12"/>
  <c r="R133" i="12"/>
  <c r="R385" i="16"/>
  <c r="R91" i="14"/>
  <c r="U92" i="14"/>
  <c r="U112" i="14" s="1"/>
  <c r="R112" i="14"/>
  <c r="R280" i="11"/>
  <c r="U261" i="11"/>
  <c r="U280" i="11" s="1"/>
  <c r="U156" i="13"/>
  <c r="U175" i="13" s="1"/>
  <c r="R175" i="13"/>
  <c r="W178" i="13"/>
  <c r="W196" i="13" s="1"/>
  <c r="T196" i="13"/>
  <c r="W94" i="12"/>
  <c r="W112" i="12" s="1"/>
  <c r="T112" i="12"/>
  <c r="W390" i="15"/>
  <c r="W406" i="15" s="1"/>
  <c r="T406" i="15"/>
  <c r="O18" i="126"/>
  <c r="R322" i="11"/>
  <c r="R385" i="13"/>
  <c r="H5" i="126"/>
  <c r="I24" i="127"/>
  <c r="L16" i="127"/>
  <c r="L18" i="127"/>
  <c r="R238" i="13"/>
  <c r="U220" i="13"/>
  <c r="U238" i="13" s="1"/>
  <c r="U116" i="10"/>
  <c r="U133" i="10" s="1"/>
  <c r="R133" i="10"/>
  <c r="T196" i="10"/>
  <c r="W176" i="10"/>
  <c r="W196" i="10" s="1"/>
  <c r="W197" i="10"/>
  <c r="W217" i="10" s="1"/>
  <c r="T217" i="10"/>
  <c r="U200" i="10"/>
  <c r="U217" i="10" s="1"/>
  <c r="R217" i="10"/>
  <c r="T238" i="10"/>
  <c r="W218" i="10"/>
  <c r="W238" i="10" s="1"/>
  <c r="W31" i="9"/>
  <c r="W49" i="9" s="1"/>
  <c r="T49" i="9"/>
  <c r="W136" i="9"/>
  <c r="W154" i="9" s="1"/>
  <c r="T154" i="9"/>
  <c r="W157" i="9"/>
  <c r="W175" i="9" s="1"/>
  <c r="T175" i="9"/>
  <c r="W178" i="9"/>
  <c r="W196" i="9" s="1"/>
  <c r="T196" i="9"/>
  <c r="W72" i="11"/>
  <c r="W91" i="11" s="1"/>
  <c r="T91" i="11"/>
  <c r="U11" i="10"/>
  <c r="U28" i="10" s="1"/>
  <c r="R28" i="10"/>
  <c r="W367" i="11"/>
  <c r="W385" i="11" s="1"/>
  <c r="T385" i="11"/>
  <c r="W333" i="11"/>
  <c r="W343" i="11" s="1"/>
  <c r="T343" i="11"/>
  <c r="T154" i="11"/>
  <c r="W134" i="11"/>
  <c r="W154" i="11" s="1"/>
  <c r="W50" i="11"/>
  <c r="W70" i="11" s="1"/>
  <c r="T70" i="11"/>
  <c r="U177" i="10"/>
  <c r="U196" i="10" s="1"/>
  <c r="R196" i="10"/>
  <c r="U113" i="11"/>
  <c r="U133" i="11" s="1"/>
  <c r="R133" i="11"/>
  <c r="U176" i="11"/>
  <c r="U196" i="11" s="1"/>
  <c r="R196" i="11"/>
  <c r="W198" i="11"/>
  <c r="W217" i="11" s="1"/>
  <c r="T217" i="11"/>
  <c r="O28" i="126"/>
  <c r="O30" i="126"/>
  <c r="R70" i="9"/>
  <c r="T49" i="11"/>
  <c r="T385" i="12"/>
  <c r="R406" i="10"/>
  <c r="R364" i="10"/>
  <c r="N17" i="127"/>
  <c r="K16" i="127"/>
  <c r="O11" i="126"/>
  <c r="H18" i="127"/>
  <c r="O10" i="126"/>
  <c r="M5" i="126"/>
  <c r="I16" i="127"/>
  <c r="N18" i="127"/>
  <c r="K17" i="127"/>
  <c r="W221" i="11"/>
  <c r="W238" i="11" s="1"/>
  <c r="T238" i="11"/>
  <c r="U241" i="11"/>
  <c r="U259" i="11" s="1"/>
  <c r="R259" i="11"/>
  <c r="W71" i="10"/>
  <c r="W91" i="10" s="1"/>
  <c r="T91" i="10"/>
  <c r="U74" i="10"/>
  <c r="U91" i="10" s="1"/>
  <c r="R91" i="10"/>
  <c r="U284" i="10"/>
  <c r="U301" i="10" s="1"/>
  <c r="R301" i="10"/>
  <c r="W346" i="10"/>
  <c r="W364" i="10" s="1"/>
  <c r="T364" i="10"/>
  <c r="W367" i="10"/>
  <c r="W385" i="10" s="1"/>
  <c r="T385" i="10"/>
  <c r="W199" i="9"/>
  <c r="W217" i="9" s="1"/>
  <c r="T217" i="9"/>
  <c r="U282" i="9"/>
  <c r="U301" i="9" s="1"/>
  <c r="R301" i="9"/>
  <c r="W287" i="12"/>
  <c r="W301" i="12" s="1"/>
  <c r="T301" i="12"/>
  <c r="W94" i="9"/>
  <c r="W112" i="9" s="1"/>
  <c r="T112" i="9"/>
  <c r="U197" i="11"/>
  <c r="U217" i="11" s="1"/>
  <c r="R217" i="11"/>
  <c r="U367" i="12"/>
  <c r="U385" i="12" s="1"/>
  <c r="R385" i="12"/>
  <c r="T196" i="11"/>
  <c r="W176" i="11"/>
  <c r="W196" i="11" s="1"/>
  <c r="U409" i="12"/>
  <c r="U427" i="12" s="1"/>
  <c r="R427" i="12"/>
  <c r="U209" i="16"/>
  <c r="U217" i="16" s="1"/>
  <c r="O19" i="126"/>
  <c r="O7" i="126"/>
  <c r="O14" i="126"/>
  <c r="O13" i="126"/>
  <c r="O12" i="126"/>
  <c r="U175" i="9"/>
  <c r="T49" i="10"/>
  <c r="T343" i="10"/>
  <c r="K15" i="127"/>
  <c r="R301" i="21"/>
  <c r="U283" i="21"/>
  <c r="U301" i="21" s="1"/>
  <c r="J5" i="126"/>
  <c r="K18" i="127"/>
  <c r="O8" i="126"/>
  <c r="F18" i="127"/>
  <c r="H15" i="127"/>
  <c r="H17" i="127"/>
  <c r="N15" i="127"/>
  <c r="U304" i="13"/>
  <c r="U322" i="13" s="1"/>
  <c r="R322" i="13"/>
  <c r="T154" i="10"/>
  <c r="W134" i="10"/>
  <c r="W154" i="10" s="1"/>
  <c r="W155" i="10"/>
  <c r="W175" i="10" s="1"/>
  <c r="T175" i="10"/>
  <c r="U158" i="10"/>
  <c r="U175" i="10" s="1"/>
  <c r="R175" i="10"/>
  <c r="U219" i="10"/>
  <c r="U238" i="10" s="1"/>
  <c r="R238" i="10"/>
  <c r="W239" i="10"/>
  <c r="W259" i="10" s="1"/>
  <c r="T259" i="10"/>
  <c r="U242" i="10"/>
  <c r="U259" i="10" s="1"/>
  <c r="R259" i="10"/>
  <c r="U261" i="10"/>
  <c r="U280" i="10" s="1"/>
  <c r="R280" i="10"/>
  <c r="W411" i="10"/>
  <c r="W427" i="10" s="1"/>
  <c r="T427" i="10"/>
  <c r="U114" i="9"/>
  <c r="U133" i="9" s="1"/>
  <c r="R133" i="9"/>
  <c r="U200" i="9"/>
  <c r="U217" i="9" s="1"/>
  <c r="R217" i="9"/>
  <c r="W222" i="9"/>
  <c r="W238" i="9" s="1"/>
  <c r="T238" i="9"/>
  <c r="W304" i="9"/>
  <c r="T322" i="9"/>
  <c r="U344" i="12"/>
  <c r="U364" i="12" s="1"/>
  <c r="R364" i="12"/>
  <c r="W114" i="11"/>
  <c r="W133" i="11" s="1"/>
  <c r="T133" i="11"/>
  <c r="U307" i="12"/>
  <c r="U322" i="12" s="1"/>
  <c r="R322" i="12"/>
  <c r="U93" i="10"/>
  <c r="U112" i="10" s="1"/>
  <c r="R112" i="10"/>
  <c r="W54" i="10"/>
  <c r="W70" i="10" s="1"/>
  <c r="T70" i="10"/>
  <c r="U8" i="11"/>
  <c r="U28" i="11" s="1"/>
  <c r="R28" i="11"/>
  <c r="U92" i="11"/>
  <c r="U112" i="11" s="1"/>
  <c r="R112" i="11"/>
  <c r="O16" i="126"/>
  <c r="O17" i="126"/>
  <c r="U364" i="10"/>
  <c r="T301" i="9"/>
  <c r="I18" i="127"/>
  <c r="H16" i="127"/>
  <c r="O9" i="126"/>
  <c r="K5" i="126"/>
  <c r="K24" i="127"/>
  <c r="N16" i="127"/>
  <c r="E5" i="126"/>
  <c r="G5" i="126"/>
  <c r="O6" i="126"/>
  <c r="F16" i="127"/>
  <c r="K23" i="127"/>
  <c r="T91" i="21"/>
  <c r="W75" i="21"/>
  <c r="W91" i="21" s="1"/>
  <c r="T112" i="10"/>
  <c r="W92" i="10"/>
  <c r="W112" i="10" s="1"/>
  <c r="W261" i="10"/>
  <c r="W280" i="10" s="1"/>
  <c r="T280" i="10"/>
  <c r="U303" i="10"/>
  <c r="U322" i="10" s="1"/>
  <c r="R322" i="10"/>
  <c r="U9" i="9"/>
  <c r="U28" i="9" s="1"/>
  <c r="R28" i="9"/>
  <c r="W262" i="9"/>
  <c r="W280" i="9" s="1"/>
  <c r="T280" i="9"/>
  <c r="U324" i="9"/>
  <c r="U343" i="9" s="1"/>
  <c r="R343" i="9"/>
  <c r="W346" i="9"/>
  <c r="W364" i="9" s="1"/>
  <c r="T364" i="9"/>
  <c r="U333" i="12"/>
  <c r="U343" i="12" s="1"/>
  <c r="R343" i="12"/>
  <c r="U389" i="11"/>
  <c r="U406" i="11" s="1"/>
  <c r="R406" i="11"/>
  <c r="U135" i="10"/>
  <c r="U154" i="10" s="1"/>
  <c r="R154" i="10"/>
  <c r="U155" i="11"/>
  <c r="U175" i="11" s="1"/>
  <c r="R175" i="11"/>
  <c r="W12" i="10"/>
  <c r="W28" i="10" s="1"/>
  <c r="T28" i="10"/>
  <c r="W411" i="11"/>
  <c r="W427" i="11" s="1"/>
  <c r="T427" i="11"/>
  <c r="W347" i="12"/>
  <c r="W364" i="12" s="1"/>
  <c r="T364" i="12"/>
  <c r="W389" i="12"/>
  <c r="W406" i="12" s="1"/>
  <c r="T406" i="12"/>
  <c r="W9" i="11"/>
  <c r="W28" i="11" s="1"/>
  <c r="T28" i="11"/>
  <c r="U71" i="11"/>
  <c r="U91" i="11" s="1"/>
  <c r="R91" i="11"/>
  <c r="W95" i="11"/>
  <c r="W112" i="11" s="1"/>
  <c r="T112" i="11"/>
  <c r="O23" i="126"/>
  <c r="O20" i="126"/>
  <c r="O24" i="126"/>
  <c r="O21" i="126"/>
  <c r="U70" i="9"/>
  <c r="W322" i="9"/>
  <c r="R364" i="11"/>
  <c r="T301" i="11"/>
  <c r="R175" i="9"/>
  <c r="E70" i="98"/>
  <c r="B70" i="98" s="1"/>
  <c r="H7" i="96" s="1"/>
  <c r="E74" i="98"/>
  <c r="B74" i="98" s="1"/>
  <c r="H11" i="96" s="1"/>
  <c r="E42" i="98"/>
  <c r="B42" i="98" s="1"/>
  <c r="E10" i="96" s="1"/>
  <c r="F17" i="127"/>
  <c r="E43" i="98"/>
  <c r="B43" i="98" s="1"/>
  <c r="E11" i="96" s="1"/>
  <c r="E102" i="98"/>
  <c r="B102" i="98" s="1"/>
  <c r="E45" i="98"/>
  <c r="B45" i="98" s="1"/>
  <c r="E13" i="96" s="1"/>
  <c r="E100" i="98"/>
  <c r="E73" i="98"/>
  <c r="B73" i="98" s="1"/>
  <c r="H10" i="96" s="1"/>
  <c r="I17" i="127"/>
  <c r="E69" i="98"/>
  <c r="B69" i="98" s="1"/>
  <c r="H6" i="96" s="1"/>
  <c r="E38" i="98"/>
  <c r="B38" i="98" s="1"/>
  <c r="E6" i="96" s="1"/>
  <c r="E101" i="98"/>
  <c r="B101" i="98" s="1"/>
  <c r="E107" i="98"/>
  <c r="B107" i="98" s="1"/>
  <c r="E41" i="98"/>
  <c r="B41" i="98" s="1"/>
  <c r="E9" i="96" s="1"/>
  <c r="F15" i="127"/>
  <c r="E50" i="98"/>
  <c r="B50" i="98" s="1"/>
  <c r="E18" i="96" s="1"/>
  <c r="E39" i="98"/>
  <c r="B39" i="98" s="1"/>
  <c r="E7" i="96" s="1"/>
  <c r="E40" i="98"/>
  <c r="B40" i="98" s="1"/>
  <c r="E8" i="96" s="1"/>
  <c r="E81" i="98"/>
  <c r="B81" i="98" s="1"/>
  <c r="H18" i="96" s="1"/>
  <c r="I23" i="127"/>
  <c r="E71" i="98"/>
  <c r="B71" i="98" s="1"/>
  <c r="H8" i="96" s="1"/>
  <c r="C7" i="127"/>
  <c r="E105" i="98"/>
  <c r="B105" i="98" s="1"/>
  <c r="E112" i="98"/>
  <c r="B112" i="98" s="1"/>
  <c r="E103" i="98"/>
  <c r="B103" i="98" s="1"/>
  <c r="L15" i="127"/>
  <c r="E104" i="98"/>
  <c r="B104" i="98" s="1"/>
  <c r="L17" i="127"/>
  <c r="E72" i="98"/>
  <c r="B72" i="98" s="1"/>
  <c r="H9" i="96" s="1"/>
  <c r="I15" i="127"/>
  <c r="E76" i="98"/>
  <c r="B76" i="98" s="1"/>
  <c r="H13" i="96" s="1"/>
  <c r="R6" i="127"/>
  <c r="T70" i="19"/>
  <c r="W52" i="19"/>
  <c r="W70" i="19" s="1"/>
  <c r="T301" i="16"/>
  <c r="W281" i="16"/>
  <c r="W301" i="16" s="1"/>
  <c r="W96" i="22"/>
  <c r="W112" i="22" s="1"/>
  <c r="T112" i="22"/>
  <c r="M70" i="98"/>
  <c r="O7" i="105"/>
  <c r="M44" i="98"/>
  <c r="O12" i="105"/>
  <c r="M69" i="98"/>
  <c r="O6" i="105"/>
  <c r="U280" i="8"/>
  <c r="U301" i="12"/>
  <c r="W28" i="8"/>
  <c r="U385" i="9"/>
  <c r="R301" i="20"/>
  <c r="U260" i="16"/>
  <c r="U280" i="16" s="1"/>
  <c r="R280" i="16"/>
  <c r="U134" i="15"/>
  <c r="U154" i="15" s="1"/>
  <c r="R154" i="15"/>
  <c r="R322" i="14"/>
  <c r="U304" i="14"/>
  <c r="U322" i="14" s="1"/>
  <c r="M55" i="98"/>
  <c r="O23" i="105"/>
  <c r="M52" i="98"/>
  <c r="O20" i="105"/>
  <c r="M60" i="98"/>
  <c r="D60" i="98" s="1"/>
  <c r="O28" i="105"/>
  <c r="M73" i="98"/>
  <c r="O10" i="105"/>
  <c r="W163" i="11"/>
  <c r="W175" i="11" s="1"/>
  <c r="R217" i="18"/>
  <c r="R427" i="16"/>
  <c r="U411" i="16"/>
  <c r="U427" i="16" s="1"/>
  <c r="U220" i="12"/>
  <c r="U238" i="12" s="1"/>
  <c r="R238" i="12"/>
  <c r="S185" i="96"/>
  <c r="K185" i="96"/>
  <c r="T185" i="96" s="1"/>
  <c r="O185" i="96" s="1"/>
  <c r="A181" i="96" s="1"/>
  <c r="U8" i="14"/>
  <c r="U28" i="14" s="1"/>
  <c r="R28" i="14"/>
  <c r="M45" i="98"/>
  <c r="O13" i="105"/>
  <c r="R112" i="21"/>
  <c r="U50" i="14"/>
  <c r="U70" i="14" s="1"/>
  <c r="R70" i="14"/>
  <c r="M48" i="98"/>
  <c r="O16" i="105"/>
  <c r="O24" i="105"/>
  <c r="M56" i="98"/>
  <c r="D56" i="98" s="1"/>
  <c r="M72" i="98"/>
  <c r="O9" i="105"/>
  <c r="D69" i="98"/>
  <c r="R69" i="98" s="1"/>
  <c r="D52" i="98"/>
  <c r="G20" i="96" s="1"/>
  <c r="D45" i="98"/>
  <c r="R45" i="98" s="1"/>
  <c r="D82" i="98"/>
  <c r="J19" i="96" s="1"/>
  <c r="D76" i="98"/>
  <c r="J13" i="96" s="1"/>
  <c r="D113" i="98"/>
  <c r="M19" i="96" s="1"/>
  <c r="D102" i="98"/>
  <c r="M8" i="96" s="1"/>
  <c r="D117" i="98"/>
  <c r="M23" i="96" s="1"/>
  <c r="D103" i="98"/>
  <c r="M9" i="96" s="1"/>
  <c r="D93" i="98"/>
  <c r="J30" i="96" s="1"/>
  <c r="D124" i="98"/>
  <c r="R124" i="98" s="1"/>
  <c r="D111" i="98"/>
  <c r="R111" i="98" s="1"/>
  <c r="D107" i="98"/>
  <c r="R107" i="98" s="1"/>
  <c r="D120" i="98"/>
  <c r="R120" i="98" s="1"/>
  <c r="D89" i="98"/>
  <c r="R89" i="98" s="1"/>
  <c r="D121" i="98"/>
  <c r="M27" i="96" s="1"/>
  <c r="D79" i="98"/>
  <c r="R79" i="98" s="1"/>
  <c r="D100" i="98"/>
  <c r="R100" i="98" s="1"/>
  <c r="D80" i="98"/>
  <c r="R80" i="98" s="1"/>
  <c r="D118" i="98"/>
  <c r="R118" i="98" s="1"/>
  <c r="D108" i="98"/>
  <c r="M14" i="96" s="1"/>
  <c r="D114" i="98"/>
  <c r="R114" i="98" s="1"/>
  <c r="D104" i="98"/>
  <c r="R104" i="98" s="1"/>
  <c r="D85" i="98"/>
  <c r="R85" i="98" s="1"/>
  <c r="D105" i="98"/>
  <c r="R105" i="98" s="1"/>
  <c r="D90" i="98"/>
  <c r="R90" i="98" s="1"/>
  <c r="D122" i="98"/>
  <c r="M28" i="96" s="1"/>
  <c r="D109" i="98"/>
  <c r="M15" i="96" s="1"/>
  <c r="D112" i="98"/>
  <c r="M18" i="96" s="1"/>
  <c r="D101" i="98"/>
  <c r="R101" i="98" s="1"/>
  <c r="U52" i="21"/>
  <c r="U70" i="21" s="1"/>
  <c r="R70" i="21"/>
  <c r="T427" i="20"/>
  <c r="W407" i="20"/>
  <c r="W427" i="20" s="1"/>
  <c r="W155" i="13"/>
  <c r="W175" i="13" s="1"/>
  <c r="T175" i="13"/>
  <c r="W260" i="18"/>
  <c r="W280" i="18" s="1"/>
  <c r="T280" i="18"/>
  <c r="W158" i="18"/>
  <c r="W175" i="18" s="1"/>
  <c r="T175" i="18"/>
  <c r="W365" i="15"/>
  <c r="W385" i="15" s="1"/>
  <c r="T385" i="15"/>
  <c r="R280" i="12"/>
  <c r="U272" i="12"/>
  <c r="U280" i="12" s="1"/>
  <c r="U304" i="9"/>
  <c r="U322" i="9" s="1"/>
  <c r="R322" i="9"/>
  <c r="U407" i="20"/>
  <c r="U427" i="20" s="1"/>
  <c r="R427" i="20"/>
  <c r="W407" i="14"/>
  <c r="W427" i="14" s="1"/>
  <c r="T427" i="14"/>
  <c r="W385" i="13"/>
  <c r="U243" i="16"/>
  <c r="U259" i="16" s="1"/>
  <c r="R238" i="8"/>
  <c r="T427" i="19"/>
  <c r="U94" i="20"/>
  <c r="U112" i="20" s="1"/>
  <c r="R112" i="20"/>
  <c r="U304" i="19"/>
  <c r="U322" i="19" s="1"/>
  <c r="R322" i="19"/>
  <c r="U409" i="18"/>
  <c r="U427" i="18" s="1"/>
  <c r="R427" i="18"/>
  <c r="W365" i="14"/>
  <c r="W385" i="14" s="1"/>
  <c r="T385" i="14"/>
  <c r="W344" i="11"/>
  <c r="W364" i="11" s="1"/>
  <c r="T364" i="11"/>
  <c r="U93" i="8"/>
  <c r="U112" i="8" s="1"/>
  <c r="R112" i="8"/>
  <c r="R70" i="20"/>
  <c r="U52" i="20"/>
  <c r="U70" i="20" s="1"/>
  <c r="U199" i="14"/>
  <c r="U217" i="14" s="1"/>
  <c r="R217" i="14"/>
  <c r="U272" i="13"/>
  <c r="U280" i="13" s="1"/>
  <c r="R280" i="13"/>
  <c r="W114" i="12"/>
  <c r="W133" i="12" s="1"/>
  <c r="T133" i="12"/>
  <c r="R133" i="21"/>
  <c r="U118" i="21"/>
  <c r="U133" i="21" s="1"/>
  <c r="W181" i="15"/>
  <c r="W196" i="15" s="1"/>
  <c r="T196" i="15"/>
  <c r="U388" i="14"/>
  <c r="U406" i="14" s="1"/>
  <c r="R406" i="14"/>
  <c r="W8" i="9"/>
  <c r="W28" i="9" s="1"/>
  <c r="T28" i="9"/>
  <c r="U74" i="8"/>
  <c r="U91" i="8" s="1"/>
  <c r="R91" i="8"/>
  <c r="W390" i="9"/>
  <c r="W406" i="9" s="1"/>
  <c r="T406" i="9"/>
  <c r="T259" i="21"/>
  <c r="R133" i="19"/>
  <c r="R28" i="21"/>
  <c r="R364" i="21"/>
  <c r="U346" i="21"/>
  <c r="U364" i="21" s="1"/>
  <c r="R301" i="19"/>
  <c r="U283" i="19"/>
  <c r="U301" i="19" s="1"/>
  <c r="W71" i="8"/>
  <c r="W91" i="8" s="1"/>
  <c r="T91" i="8"/>
  <c r="W115" i="8"/>
  <c r="W133" i="8" s="1"/>
  <c r="T133" i="8"/>
  <c r="U241" i="19"/>
  <c r="U259" i="19" s="1"/>
  <c r="R259" i="19"/>
  <c r="R217" i="15"/>
  <c r="U201" i="15"/>
  <c r="U217" i="15" s="1"/>
  <c r="U411" i="15"/>
  <c r="U427" i="15" s="1"/>
  <c r="R427" i="15"/>
  <c r="U52" i="13"/>
  <c r="U70" i="13" s="1"/>
  <c r="R70" i="13"/>
  <c r="R238" i="11"/>
  <c r="U223" i="11"/>
  <c r="U238" i="11" s="1"/>
  <c r="R217" i="19"/>
  <c r="U199" i="19"/>
  <c r="U217" i="19" s="1"/>
  <c r="U73" i="16"/>
  <c r="U91" i="16" s="1"/>
  <c r="R91" i="16"/>
  <c r="U325" i="10"/>
  <c r="U343" i="10" s="1"/>
  <c r="R343" i="10"/>
  <c r="R406" i="20"/>
  <c r="T28" i="17"/>
  <c r="R175" i="15"/>
  <c r="R175" i="20"/>
  <c r="U325" i="21"/>
  <c r="U343" i="21" s="1"/>
  <c r="R343" i="21"/>
  <c r="W134" i="18"/>
  <c r="W154" i="18" s="1"/>
  <c r="T154" i="18"/>
  <c r="U10" i="20"/>
  <c r="U28" i="20" s="1"/>
  <c r="R28" i="20"/>
  <c r="U71" i="19"/>
  <c r="U91" i="19" s="1"/>
  <c r="R91" i="19"/>
  <c r="R301" i="18"/>
  <c r="U283" i="18"/>
  <c r="U301" i="18" s="1"/>
  <c r="W239" i="16"/>
  <c r="W259" i="16" s="1"/>
  <c r="T259" i="16"/>
  <c r="U386" i="15"/>
  <c r="U406" i="15" s="1"/>
  <c r="R406" i="15"/>
  <c r="U388" i="13"/>
  <c r="U406" i="13" s="1"/>
  <c r="R406" i="13"/>
  <c r="U51" i="11"/>
  <c r="U70" i="11" s="1"/>
  <c r="R70" i="11"/>
  <c r="U197" i="22"/>
  <c r="U217" i="22" s="1"/>
  <c r="R217" i="22"/>
  <c r="U167" i="21"/>
  <c r="U175" i="21" s="1"/>
  <c r="R175" i="21"/>
  <c r="U241" i="14"/>
  <c r="U259" i="14" s="1"/>
  <c r="R259" i="14"/>
  <c r="U197" i="13"/>
  <c r="U217" i="13" s="1"/>
  <c r="R217" i="13"/>
  <c r="W52" i="8"/>
  <c r="W70" i="8" s="1"/>
  <c r="T70" i="8"/>
  <c r="U30" i="8"/>
  <c r="U49" i="8" s="1"/>
  <c r="R49" i="8"/>
  <c r="W410" i="13"/>
  <c r="W427" i="13" s="1"/>
  <c r="T28" i="8"/>
  <c r="R385" i="9"/>
  <c r="T133" i="18"/>
  <c r="D123" i="98"/>
  <c r="R123" i="98" s="1"/>
  <c r="D115" i="98"/>
  <c r="R115" i="98" s="1"/>
  <c r="D119" i="98"/>
  <c r="M25" i="96" s="1"/>
  <c r="D74" i="98"/>
  <c r="J11" i="96" s="1"/>
  <c r="D81" i="98"/>
  <c r="J18" i="96" s="1"/>
  <c r="D88" i="98"/>
  <c r="D72" i="98"/>
  <c r="J9" i="96" s="1"/>
  <c r="J71" i="98"/>
  <c r="D71" i="98" s="1"/>
  <c r="R71" i="98" s="1"/>
  <c r="J86" i="98"/>
  <c r="D86" i="98" s="1"/>
  <c r="J91" i="98"/>
  <c r="D91" i="98" s="1"/>
  <c r="J75" i="98"/>
  <c r="D75" i="98" s="1"/>
  <c r="R75" i="98" s="1"/>
  <c r="D70" i="98"/>
  <c r="R70" i="98" s="1"/>
  <c r="J92" i="98"/>
  <c r="D92" i="98" s="1"/>
  <c r="J78" i="98"/>
  <c r="D78" i="98" s="1"/>
  <c r="J77" i="98"/>
  <c r="D77" i="98" s="1"/>
  <c r="J73" i="98"/>
  <c r="D73" i="98" s="1"/>
  <c r="D87" i="98"/>
  <c r="J24" i="96" s="1"/>
  <c r="L7" i="130"/>
  <c r="G25" i="96"/>
  <c r="R58" i="98"/>
  <c r="R18" i="98"/>
  <c r="G13" i="96"/>
  <c r="U304" i="20"/>
  <c r="U322" i="20" s="1"/>
  <c r="R322" i="20"/>
  <c r="W71" i="13"/>
  <c r="W91" i="13" s="1"/>
  <c r="T91" i="13"/>
  <c r="U283" i="11"/>
  <c r="U301" i="11" s="1"/>
  <c r="R301" i="11"/>
  <c r="T301" i="10"/>
  <c r="W282" i="10"/>
  <c r="W301" i="10" s="1"/>
  <c r="U409" i="10"/>
  <c r="U427" i="10" s="1"/>
  <c r="R427" i="10"/>
  <c r="U266" i="9"/>
  <c r="U280" i="9" s="1"/>
  <c r="R280" i="9"/>
  <c r="W367" i="20"/>
  <c r="W385" i="20" s="1"/>
  <c r="T385" i="20"/>
  <c r="R175" i="19"/>
  <c r="U157" i="19"/>
  <c r="U175" i="19" s="1"/>
  <c r="W302" i="18"/>
  <c r="W322" i="18" s="1"/>
  <c r="T322" i="18"/>
  <c r="U344" i="15"/>
  <c r="U364" i="15" s="1"/>
  <c r="R364" i="15"/>
  <c r="W71" i="14"/>
  <c r="W91" i="14" s="1"/>
  <c r="T91" i="14"/>
  <c r="W242" i="13"/>
  <c r="W259" i="13" s="1"/>
  <c r="T259" i="13"/>
  <c r="R70" i="12"/>
  <c r="U52" i="12"/>
  <c r="U70" i="12" s="1"/>
  <c r="U135" i="11"/>
  <c r="U154" i="11" s="1"/>
  <c r="R154" i="11"/>
  <c r="U58" i="10"/>
  <c r="U70" i="10" s="1"/>
  <c r="R70" i="10"/>
  <c r="U10" i="8"/>
  <c r="U28" i="8" s="1"/>
  <c r="R28" i="8"/>
  <c r="W294" i="22"/>
  <c r="W301" i="22" s="1"/>
  <c r="T301" i="22"/>
  <c r="U32" i="21"/>
  <c r="U49" i="21" s="1"/>
  <c r="R49" i="21"/>
  <c r="T49" i="19"/>
  <c r="W29" i="19"/>
  <c r="W49" i="19" s="1"/>
  <c r="W408" i="17"/>
  <c r="W427" i="17" s="1"/>
  <c r="T427" i="17"/>
  <c r="R133" i="16"/>
  <c r="U117" i="16"/>
  <c r="U133" i="16" s="1"/>
  <c r="W365" i="16"/>
  <c r="W385" i="16" s="1"/>
  <c r="T385" i="16"/>
  <c r="U92" i="15"/>
  <c r="U112" i="15" s="1"/>
  <c r="R112" i="15"/>
  <c r="U157" i="14"/>
  <c r="U175" i="14" s="1"/>
  <c r="R175" i="14"/>
  <c r="W113" i="13"/>
  <c r="W133" i="13" s="1"/>
  <c r="T133" i="13"/>
  <c r="R154" i="12"/>
  <c r="U136" i="12"/>
  <c r="U154" i="12" s="1"/>
  <c r="W241" i="11"/>
  <c r="W259" i="11" s="1"/>
  <c r="T259" i="11"/>
  <c r="U39" i="9"/>
  <c r="U49" i="9" s="1"/>
  <c r="R49" i="9"/>
  <c r="U136" i="9"/>
  <c r="U154" i="9" s="1"/>
  <c r="R154" i="9"/>
  <c r="W366" i="9"/>
  <c r="W385" i="9" s="1"/>
  <c r="T385" i="9"/>
  <c r="W199" i="8"/>
  <c r="W217" i="8" s="1"/>
  <c r="T217" i="8"/>
  <c r="U303" i="8"/>
  <c r="U322" i="8" s="1"/>
  <c r="R322" i="8"/>
  <c r="W306" i="8"/>
  <c r="W322" i="8" s="1"/>
  <c r="T322" i="8"/>
  <c r="D84" i="98"/>
  <c r="R84" i="98" s="1"/>
  <c r="R343" i="22"/>
  <c r="T427" i="9"/>
  <c r="W176" i="18"/>
  <c r="W196" i="18" s="1"/>
  <c r="T196" i="18"/>
  <c r="R238" i="14"/>
  <c r="U220" i="14"/>
  <c r="U238" i="14" s="1"/>
  <c r="W30" i="13"/>
  <c r="W49" i="13" s="1"/>
  <c r="T49" i="13"/>
  <c r="W386" i="10"/>
  <c r="W406" i="10" s="1"/>
  <c r="T406" i="10"/>
  <c r="U220" i="9"/>
  <c r="U238" i="9" s="1"/>
  <c r="R238" i="9"/>
  <c r="W180" i="22"/>
  <c r="W196" i="22" s="1"/>
  <c r="T196" i="22"/>
  <c r="U373" i="22"/>
  <c r="U385" i="22" s="1"/>
  <c r="R385" i="22"/>
  <c r="U218" i="21"/>
  <c r="U238" i="21" s="1"/>
  <c r="R238" i="21"/>
  <c r="W50" i="18"/>
  <c r="W70" i="18" s="1"/>
  <c r="T70" i="18"/>
  <c r="W386" i="16"/>
  <c r="W406" i="16" s="1"/>
  <c r="T406" i="16"/>
  <c r="W29" i="12"/>
  <c r="W49" i="12" s="1"/>
  <c r="T49" i="12"/>
  <c r="U40" i="11"/>
  <c r="U49" i="11" s="1"/>
  <c r="R49" i="11"/>
  <c r="W303" i="10"/>
  <c r="W322" i="10" s="1"/>
  <c r="T322" i="10"/>
  <c r="W242" i="9"/>
  <c r="W259" i="9" s="1"/>
  <c r="T259" i="9"/>
  <c r="U178" i="20"/>
  <c r="U196" i="20" s="1"/>
  <c r="R196" i="20"/>
  <c r="W8" i="18"/>
  <c r="W28" i="18" s="1"/>
  <c r="T28" i="18"/>
  <c r="U96" i="18"/>
  <c r="U112" i="18" s="1"/>
  <c r="R112" i="18"/>
  <c r="W221" i="16"/>
  <c r="W238" i="16" s="1"/>
  <c r="T238" i="16"/>
  <c r="W281" i="15"/>
  <c r="W301" i="15" s="1"/>
  <c r="T301" i="15"/>
  <c r="U354" i="13"/>
  <c r="U364" i="13" s="1"/>
  <c r="R364" i="13"/>
  <c r="W138" i="8"/>
  <c r="W154" i="8" s="1"/>
  <c r="T154" i="8"/>
  <c r="R154" i="8"/>
  <c r="U136" i="8"/>
  <c r="U154" i="8" s="1"/>
  <c r="W220" i="8"/>
  <c r="W238" i="8" s="1"/>
  <c r="T238" i="8"/>
  <c r="J99" i="98"/>
  <c r="T406" i="8"/>
  <c r="U100" i="13"/>
  <c r="U112" i="13" s="1"/>
  <c r="R112" i="13"/>
  <c r="U31" i="10"/>
  <c r="U49" i="10" s="1"/>
  <c r="R49" i="10"/>
  <c r="U388" i="22"/>
  <c r="U406" i="22" s="1"/>
  <c r="R406" i="22"/>
  <c r="U113" i="22"/>
  <c r="U133" i="22" s="1"/>
  <c r="R133" i="22"/>
  <c r="T217" i="21"/>
  <c r="W198" i="21"/>
  <c r="W217" i="21" s="1"/>
  <c r="U323" i="20"/>
  <c r="U343" i="20" s="1"/>
  <c r="R343" i="20"/>
  <c r="U220" i="19"/>
  <c r="U238" i="19" s="1"/>
  <c r="R238" i="19"/>
  <c r="R259" i="18"/>
  <c r="U241" i="18"/>
  <c r="U259" i="18" s="1"/>
  <c r="W282" i="17"/>
  <c r="W301" i="17" s="1"/>
  <c r="T301" i="17"/>
  <c r="W323" i="16"/>
  <c r="W343" i="16" s="1"/>
  <c r="T343" i="16"/>
  <c r="R238" i="15"/>
  <c r="U218" i="15"/>
  <c r="U238" i="15" s="1"/>
  <c r="W323" i="15"/>
  <c r="W343" i="15" s="1"/>
  <c r="T343" i="15"/>
  <c r="R154" i="13"/>
  <c r="U136" i="13"/>
  <c r="U154" i="13" s="1"/>
  <c r="U182" i="12"/>
  <c r="U196" i="12" s="1"/>
  <c r="R196" i="12"/>
  <c r="U409" i="11"/>
  <c r="U427" i="11" s="1"/>
  <c r="R427" i="11"/>
  <c r="U98" i="9"/>
  <c r="U112" i="9" s="1"/>
  <c r="R112" i="9"/>
  <c r="U352" i="22"/>
  <c r="U364" i="22" s="1"/>
  <c r="R364" i="22"/>
  <c r="W92" i="19"/>
  <c r="W112" i="19" s="1"/>
  <c r="T112" i="19"/>
  <c r="U325" i="19"/>
  <c r="U343" i="19" s="1"/>
  <c r="R343" i="19"/>
  <c r="W71" i="15"/>
  <c r="W91" i="15" s="1"/>
  <c r="T91" i="15"/>
  <c r="U348" i="14"/>
  <c r="U364" i="14" s="1"/>
  <c r="R364" i="14"/>
  <c r="U16" i="12"/>
  <c r="U28" i="12" s="1"/>
  <c r="R28" i="12"/>
  <c r="W387" i="11"/>
  <c r="W406" i="11" s="1"/>
  <c r="T406" i="11"/>
  <c r="U180" i="9"/>
  <c r="U196" i="9" s="1"/>
  <c r="R196" i="9"/>
  <c r="W406" i="8"/>
  <c r="W427" i="9"/>
  <c r="T49" i="22"/>
  <c r="R196" i="8"/>
  <c r="R385" i="21"/>
  <c r="R301" i="12"/>
  <c r="U73" i="20"/>
  <c r="U91" i="20" s="1"/>
  <c r="R91" i="20"/>
  <c r="R343" i="18"/>
  <c r="U325" i="18"/>
  <c r="U343" i="18" s="1"/>
  <c r="U270" i="14"/>
  <c r="U280" i="14" s="1"/>
  <c r="R280" i="14"/>
  <c r="U337" i="11"/>
  <c r="U343" i="11" s="1"/>
  <c r="R343" i="11"/>
  <c r="R133" i="20"/>
  <c r="U115" i="20"/>
  <c r="U133" i="20" s="1"/>
  <c r="W240" i="17"/>
  <c r="W259" i="17" s="1"/>
  <c r="T259" i="17"/>
  <c r="U117" i="14"/>
  <c r="U133" i="14" s="1"/>
  <c r="R133" i="14"/>
  <c r="W326" i="14"/>
  <c r="W343" i="14" s="1"/>
  <c r="T343" i="14"/>
  <c r="U106" i="12"/>
  <c r="U112" i="12" s="1"/>
  <c r="R112" i="12"/>
  <c r="U387" i="12"/>
  <c r="U406" i="12" s="1"/>
  <c r="R406" i="12"/>
  <c r="W261" i="11"/>
  <c r="W280" i="11" s="1"/>
  <c r="T280" i="11"/>
  <c r="W218" i="20"/>
  <c r="W238" i="20" s="1"/>
  <c r="T238" i="20"/>
  <c r="T175" i="17"/>
  <c r="W156" i="17"/>
  <c r="W175" i="17" s="1"/>
  <c r="U386" i="16"/>
  <c r="U406" i="16" s="1"/>
  <c r="R406" i="16"/>
  <c r="W302" i="15"/>
  <c r="W322" i="15" s="1"/>
  <c r="T322" i="15"/>
  <c r="U18" i="13"/>
  <c r="U28" i="13" s="1"/>
  <c r="R28" i="13"/>
  <c r="U367" i="11"/>
  <c r="U385" i="11" s="1"/>
  <c r="R385" i="11"/>
  <c r="W180" i="8"/>
  <c r="W196" i="8" s="1"/>
  <c r="T196" i="8"/>
  <c r="U238" i="8"/>
  <c r="W280" i="8"/>
  <c r="T280" i="8"/>
  <c r="U196" i="8"/>
  <c r="R133" i="15"/>
  <c r="T385" i="13"/>
  <c r="R10" i="98"/>
  <c r="O5" i="112"/>
  <c r="R106" i="98"/>
  <c r="K28" i="96"/>
  <c r="R25" i="98"/>
  <c r="R22" i="98"/>
  <c r="R26" i="98"/>
  <c r="D55" i="98"/>
  <c r="R55" i="98" s="1"/>
  <c r="K23" i="96"/>
  <c r="K29" i="96"/>
  <c r="K20" i="96"/>
  <c r="K25" i="96"/>
  <c r="K22" i="96"/>
  <c r="K12" i="96"/>
  <c r="K15" i="96"/>
  <c r="R38" i="98"/>
  <c r="D11" i="96"/>
  <c r="R28" i="98"/>
  <c r="R14" i="98"/>
  <c r="K27" i="96"/>
  <c r="D22" i="96"/>
  <c r="D12" i="96"/>
  <c r="D6" i="96"/>
  <c r="R24" i="98"/>
  <c r="D15" i="96"/>
  <c r="R11" i="98"/>
  <c r="R27" i="98"/>
  <c r="R17" i="98"/>
  <c r="D28" i="96"/>
  <c r="D20" i="96"/>
  <c r="R19" i="98"/>
  <c r="R30" i="98"/>
  <c r="K17" i="96"/>
  <c r="K16" i="96"/>
  <c r="K30" i="96"/>
  <c r="W135" i="16"/>
  <c r="W154" i="16" s="1"/>
  <c r="T154" i="16"/>
  <c r="W218" i="21"/>
  <c r="W238" i="21" s="1"/>
  <c r="T238" i="21"/>
  <c r="R364" i="20"/>
  <c r="U349" i="20"/>
  <c r="U364" i="20" s="1"/>
  <c r="W71" i="18"/>
  <c r="W91" i="18" s="1"/>
  <c r="T91" i="18"/>
  <c r="W155" i="16"/>
  <c r="W175" i="16" s="1"/>
  <c r="T175" i="16"/>
  <c r="W302" i="16"/>
  <c r="W322" i="16" s="1"/>
  <c r="T322" i="16"/>
  <c r="W29" i="14"/>
  <c r="W49" i="14" s="1"/>
  <c r="T49" i="14"/>
  <c r="U239" i="22"/>
  <c r="U259" i="22" s="1"/>
  <c r="R259" i="22"/>
  <c r="U33" i="20"/>
  <c r="U49" i="20" s="1"/>
  <c r="R49" i="20"/>
  <c r="R238" i="16"/>
  <c r="U218" i="16"/>
  <c r="U238" i="16" s="1"/>
  <c r="U41" i="15"/>
  <c r="U49" i="15" s="1"/>
  <c r="R49" i="15"/>
  <c r="W239" i="15"/>
  <c r="W259" i="15" s="1"/>
  <c r="T259" i="15"/>
  <c r="W407" i="15"/>
  <c r="W427" i="15" s="1"/>
  <c r="T427" i="15"/>
  <c r="W197" i="13"/>
  <c r="W217" i="13" s="1"/>
  <c r="T217" i="13"/>
  <c r="W325" i="12"/>
  <c r="W343" i="12" s="1"/>
  <c r="T343" i="12"/>
  <c r="U346" i="9"/>
  <c r="U364" i="9" s="1"/>
  <c r="R364" i="9"/>
  <c r="W157" i="8"/>
  <c r="W175" i="8" s="1"/>
  <c r="T175" i="8"/>
  <c r="U198" i="8"/>
  <c r="U217" i="8" s="1"/>
  <c r="R217" i="8"/>
  <c r="W409" i="8"/>
  <c r="W427" i="8" s="1"/>
  <c r="T427" i="8"/>
  <c r="U408" i="8"/>
  <c r="U427" i="8" s="1"/>
  <c r="R427" i="8"/>
  <c r="W9" i="21"/>
  <c r="W28" i="21" s="1"/>
  <c r="T280" i="16"/>
  <c r="R322" i="22"/>
  <c r="U262" i="15"/>
  <c r="U280" i="15" s="1"/>
  <c r="R280" i="15"/>
  <c r="T154" i="21"/>
  <c r="W135" i="21"/>
  <c r="W154" i="21" s="1"/>
  <c r="W325" i="20"/>
  <c r="W343" i="20" s="1"/>
  <c r="T343" i="20"/>
  <c r="W113" i="19"/>
  <c r="W133" i="19" s="1"/>
  <c r="T133" i="19"/>
  <c r="W38" i="18"/>
  <c r="W49" i="18" s="1"/>
  <c r="T49" i="18"/>
  <c r="U134" i="16"/>
  <c r="U154" i="16" s="1"/>
  <c r="R154" i="16"/>
  <c r="U302" i="16"/>
  <c r="U322" i="16" s="1"/>
  <c r="R322" i="16"/>
  <c r="R343" i="15"/>
  <c r="U327" i="15"/>
  <c r="U343" i="15" s="1"/>
  <c r="T112" i="16"/>
  <c r="W93" i="16"/>
  <c r="W112" i="16" s="1"/>
  <c r="W29" i="15"/>
  <c r="W49" i="15" s="1"/>
  <c r="T49" i="15"/>
  <c r="R196" i="15"/>
  <c r="U176" i="15"/>
  <c r="U196" i="15" s="1"/>
  <c r="R133" i="8"/>
  <c r="U127" i="8"/>
  <c r="U133" i="8" s="1"/>
  <c r="U398" i="9"/>
  <c r="U406" i="9" s="1"/>
  <c r="R406" i="9"/>
  <c r="W282" i="14"/>
  <c r="W301" i="14" s="1"/>
  <c r="T301" i="14"/>
  <c r="U239" i="9"/>
  <c r="U259" i="9" s="1"/>
  <c r="R259" i="9"/>
  <c r="U161" i="8"/>
  <c r="U175" i="8" s="1"/>
  <c r="R175" i="8"/>
  <c r="U282" i="8"/>
  <c r="U301" i="8" s="1"/>
  <c r="R301" i="8"/>
  <c r="W283" i="8"/>
  <c r="W301" i="8" s="1"/>
  <c r="T301" i="8"/>
  <c r="W241" i="8"/>
  <c r="W259" i="8" s="1"/>
  <c r="T259" i="8"/>
  <c r="A241" i="96"/>
  <c r="R154" i="21"/>
  <c r="U75" i="15"/>
  <c r="U91" i="15" s="1"/>
  <c r="U155" i="18"/>
  <c r="U175" i="18" s="1"/>
  <c r="W53" i="21"/>
  <c r="W70" i="21" s="1"/>
  <c r="R70" i="15"/>
  <c r="U52" i="15"/>
  <c r="U70" i="15" s="1"/>
  <c r="U253" i="20"/>
  <c r="U259" i="20" s="1"/>
  <c r="R259" i="20"/>
  <c r="U92" i="19"/>
  <c r="U112" i="19" s="1"/>
  <c r="R112" i="19"/>
  <c r="U388" i="19"/>
  <c r="U406" i="19" s="1"/>
  <c r="R406" i="19"/>
  <c r="U58" i="16"/>
  <c r="U70" i="16" s="1"/>
  <c r="R70" i="16"/>
  <c r="U285" i="16"/>
  <c r="U301" i="16" s="1"/>
  <c r="R301" i="16"/>
  <c r="W113" i="15"/>
  <c r="W133" i="15" s="1"/>
  <c r="T133" i="15"/>
  <c r="W51" i="15"/>
  <c r="W70" i="15" s="1"/>
  <c r="T70" i="15"/>
  <c r="W155" i="15"/>
  <c r="W175" i="15" s="1"/>
  <c r="T175" i="15"/>
  <c r="W113" i="9"/>
  <c r="W133" i="9" s="1"/>
  <c r="T133" i="9"/>
  <c r="U281" i="14"/>
  <c r="U301" i="14" s="1"/>
  <c r="R301" i="14"/>
  <c r="U73" i="9"/>
  <c r="U91" i="9" s="1"/>
  <c r="R91" i="9"/>
  <c r="W325" i="8"/>
  <c r="W343" i="8" s="1"/>
  <c r="T343" i="8"/>
  <c r="U387" i="8"/>
  <c r="U406" i="8" s="1"/>
  <c r="R406" i="8"/>
  <c r="U248" i="8"/>
  <c r="U259" i="8" s="1"/>
  <c r="R259" i="8"/>
  <c r="W344" i="8"/>
  <c r="W364" i="8" s="1"/>
  <c r="T364" i="8"/>
  <c r="A91" i="96"/>
  <c r="E99" i="98"/>
  <c r="U136" i="21"/>
  <c r="U154" i="21" s="1"/>
  <c r="U285" i="15"/>
  <c r="U301" i="15" s="1"/>
  <c r="U180" i="14"/>
  <c r="U196" i="14" s="1"/>
  <c r="W355" i="16"/>
  <c r="W364" i="16" s="1"/>
  <c r="U323" i="22"/>
  <c r="U343" i="22" s="1"/>
  <c r="W114" i="10"/>
  <c r="W133" i="10" s="1"/>
  <c r="U209" i="20"/>
  <c r="U217" i="20" s="1"/>
  <c r="R217" i="20"/>
  <c r="W71" i="19"/>
  <c r="W91" i="19" s="1"/>
  <c r="T91" i="19"/>
  <c r="U346" i="19"/>
  <c r="U364" i="19" s="1"/>
  <c r="R364" i="19"/>
  <c r="W386" i="18"/>
  <c r="W406" i="18" s="1"/>
  <c r="T406" i="18"/>
  <c r="W176" i="16"/>
  <c r="W196" i="16" s="1"/>
  <c r="T196" i="16"/>
  <c r="U8" i="15"/>
  <c r="U28" i="15" s="1"/>
  <c r="R28" i="15"/>
  <c r="U136" i="14"/>
  <c r="U154" i="14" s="1"/>
  <c r="R154" i="14"/>
  <c r="U274" i="20"/>
  <c r="U280" i="20" s="1"/>
  <c r="R280" i="20"/>
  <c r="W92" i="15"/>
  <c r="W112" i="15" s="1"/>
  <c r="T112" i="15"/>
  <c r="T280" i="15"/>
  <c r="W261" i="15"/>
  <c r="W280" i="15" s="1"/>
  <c r="U178" i="13"/>
  <c r="U196" i="13" s="1"/>
  <c r="R196" i="13"/>
  <c r="W71" i="12"/>
  <c r="W91" i="12" s="1"/>
  <c r="T91" i="12"/>
  <c r="U367" i="10"/>
  <c r="U385" i="10" s="1"/>
  <c r="R385" i="10"/>
  <c r="R70" i="8"/>
  <c r="U54" i="8"/>
  <c r="U70" i="8" s="1"/>
  <c r="U324" i="8"/>
  <c r="U343" i="8" s="1"/>
  <c r="R343" i="8"/>
  <c r="U366" i="8"/>
  <c r="U385" i="8" s="1"/>
  <c r="R385" i="8"/>
  <c r="W365" i="8"/>
  <c r="W385" i="8" s="1"/>
  <c r="T385" i="8"/>
  <c r="U346" i="8"/>
  <c r="U364" i="8" s="1"/>
  <c r="R364" i="8"/>
  <c r="U180" i="19"/>
  <c r="U196" i="19" s="1"/>
  <c r="W105" i="8"/>
  <c r="W112" i="8" s="1"/>
  <c r="K19" i="96"/>
  <c r="K24" i="96"/>
  <c r="K26" i="96"/>
  <c r="K21" i="96"/>
  <c r="O25" i="92"/>
  <c r="D19" i="96"/>
  <c r="D14" i="96"/>
  <c r="D30" i="96"/>
  <c r="O14" i="92"/>
  <c r="O6" i="92"/>
  <c r="O28" i="92"/>
  <c r="O29" i="92"/>
  <c r="G29" i="96"/>
  <c r="O20" i="92"/>
  <c r="O23" i="92"/>
  <c r="K14" i="96"/>
  <c r="E5" i="92"/>
  <c r="E37" i="98" s="1"/>
  <c r="O24" i="92"/>
  <c r="G14" i="96"/>
  <c r="R8" i="98"/>
  <c r="O5" i="101"/>
  <c r="O5" i="103"/>
  <c r="A151" i="96"/>
  <c r="O5" i="105"/>
  <c r="B100" i="98"/>
  <c r="O26" i="92"/>
  <c r="G43" i="98"/>
  <c r="D43" i="98" s="1"/>
  <c r="O11" i="92"/>
  <c r="G51" i="98"/>
  <c r="D51" i="98" s="1"/>
  <c r="O19" i="92"/>
  <c r="O22" i="92"/>
  <c r="O13" i="92"/>
  <c r="G40" i="98"/>
  <c r="D40" i="98" s="1"/>
  <c r="O8" i="92"/>
  <c r="G62" i="98"/>
  <c r="D62" i="98" s="1"/>
  <c r="O30" i="92"/>
  <c r="G53" i="98"/>
  <c r="D53" i="98" s="1"/>
  <c r="O21" i="92"/>
  <c r="O12" i="92"/>
  <c r="G44" i="98"/>
  <c r="D44" i="98" s="1"/>
  <c r="G49" i="98"/>
  <c r="D49" i="98" s="1"/>
  <c r="O17" i="92"/>
  <c r="G39" i="98"/>
  <c r="D39" i="98" s="1"/>
  <c r="O7" i="92"/>
  <c r="G41" i="98"/>
  <c r="D41" i="98" s="1"/>
  <c r="O9" i="92"/>
  <c r="G42" i="98"/>
  <c r="D42" i="98" s="1"/>
  <c r="O10" i="92"/>
  <c r="G50" i="98"/>
  <c r="D50" i="98" s="1"/>
  <c r="O18" i="92"/>
  <c r="O27" i="92"/>
  <c r="G59" i="98"/>
  <c r="D59" i="98" s="1"/>
  <c r="G47" i="98"/>
  <c r="D47" i="98" s="1"/>
  <c r="O15" i="92"/>
  <c r="G5" i="92"/>
  <c r="J5" i="92"/>
  <c r="K5" i="92"/>
  <c r="H5" i="92"/>
  <c r="G48" i="98"/>
  <c r="D48" i="98" s="1"/>
  <c r="O16" i="92"/>
  <c r="M5" i="92"/>
  <c r="G68" i="98"/>
  <c r="A121" i="96"/>
  <c r="A211" i="96"/>
  <c r="A31" i="96"/>
  <c r="G22" i="96"/>
  <c r="R54" i="98"/>
  <c r="B6" i="98"/>
  <c r="B6" i="96"/>
  <c r="E68" i="98"/>
  <c r="G99" i="98"/>
  <c r="R9" i="98"/>
  <c r="D6" i="98"/>
  <c r="R6" i="98" s="1"/>
  <c r="D8" i="96"/>
  <c r="R110" i="98" l="1"/>
  <c r="M22" i="96"/>
  <c r="J6" i="96"/>
  <c r="K11" i="96"/>
  <c r="K18" i="96"/>
  <c r="K7" i="96"/>
  <c r="K10" i="96"/>
  <c r="K13" i="96"/>
  <c r="R5" i="96"/>
  <c r="K8" i="96"/>
  <c r="K9" i="96"/>
  <c r="H5" i="96"/>
  <c r="B99" i="98"/>
  <c r="E5" i="96"/>
  <c r="B68" i="98"/>
  <c r="B37" i="98"/>
  <c r="R83" i="98"/>
  <c r="H8" i="127"/>
  <c r="O5" i="126"/>
  <c r="L8" i="127"/>
  <c r="N8" i="127"/>
  <c r="I8" i="127"/>
  <c r="K8" i="127"/>
  <c r="F8" i="127"/>
  <c r="R56" i="98"/>
  <c r="G24" i="96"/>
  <c r="I7" i="130"/>
  <c r="L7" i="127"/>
  <c r="I7" i="127"/>
  <c r="F7" i="127"/>
  <c r="H37" i="98"/>
  <c r="F7" i="130"/>
  <c r="R52" i="98"/>
  <c r="G37" i="98"/>
  <c r="E7" i="127"/>
  <c r="H7" i="127"/>
  <c r="K7" i="127"/>
  <c r="E7" i="130"/>
  <c r="N7" i="130"/>
  <c r="H7" i="130"/>
  <c r="K7" i="130"/>
  <c r="N7" i="127"/>
  <c r="G28" i="96"/>
  <c r="R60" i="98"/>
  <c r="J37" i="98"/>
  <c r="R82" i="98"/>
  <c r="R76" i="98"/>
  <c r="R113" i="98"/>
  <c r="M13" i="96"/>
  <c r="U13" i="96" s="1"/>
  <c r="R117" i="98"/>
  <c r="R102" i="98"/>
  <c r="R93" i="98"/>
  <c r="R103" i="98"/>
  <c r="M30" i="96"/>
  <c r="M26" i="96"/>
  <c r="M17" i="96"/>
  <c r="J27" i="96"/>
  <c r="R121" i="98"/>
  <c r="J22" i="96"/>
  <c r="R109" i="98"/>
  <c r="M7" i="96"/>
  <c r="J16" i="96"/>
  <c r="R72" i="98"/>
  <c r="M11" i="96"/>
  <c r="R112" i="98"/>
  <c r="R108" i="98"/>
  <c r="M6" i="96"/>
  <c r="R119" i="98"/>
  <c r="M20" i="96"/>
  <c r="U20" i="96" s="1"/>
  <c r="R122" i="98"/>
  <c r="J26" i="96"/>
  <c r="J7" i="96"/>
  <c r="R74" i="98"/>
  <c r="R81" i="98"/>
  <c r="M29" i="96"/>
  <c r="M24" i="96"/>
  <c r="J17" i="96"/>
  <c r="M10" i="96"/>
  <c r="D99" i="98"/>
  <c r="R99" i="98" s="1"/>
  <c r="M21" i="96"/>
  <c r="R86" i="98"/>
  <c r="J23" i="96"/>
  <c r="J12" i="96"/>
  <c r="R87" i="98"/>
  <c r="R73" i="98"/>
  <c r="J10" i="96"/>
  <c r="R91" i="98"/>
  <c r="J28" i="96"/>
  <c r="J15" i="96"/>
  <c r="R78" i="98"/>
  <c r="J25" i="96"/>
  <c r="U25" i="96" s="1"/>
  <c r="R88" i="98"/>
  <c r="J68" i="98"/>
  <c r="R92" i="98"/>
  <c r="J29" i="96"/>
  <c r="R77" i="98"/>
  <c r="J14" i="96"/>
  <c r="U14" i="96" s="1"/>
  <c r="J8" i="96"/>
  <c r="D68" i="98"/>
  <c r="J21" i="96"/>
  <c r="G23" i="96"/>
  <c r="Q6" i="96"/>
  <c r="D37" i="98"/>
  <c r="O5" i="92"/>
  <c r="G12" i="96"/>
  <c r="R44" i="98"/>
  <c r="G18" i="96"/>
  <c r="U18" i="96" s="1"/>
  <c r="R50" i="98"/>
  <c r="R49" i="98"/>
  <c r="G17" i="96"/>
  <c r="G21" i="96"/>
  <c r="R53" i="98"/>
  <c r="G19" i="96"/>
  <c r="U19" i="96" s="1"/>
  <c r="R51" i="98"/>
  <c r="G10" i="96"/>
  <c r="R42" i="98"/>
  <c r="G7" i="96"/>
  <c r="R39" i="98"/>
  <c r="G30" i="96"/>
  <c r="R62" i="98"/>
  <c r="G11" i="96"/>
  <c r="R43" i="98"/>
  <c r="R48" i="98"/>
  <c r="G16" i="96"/>
  <c r="G27" i="96"/>
  <c r="R59" i="98"/>
  <c r="R47" i="98"/>
  <c r="G15" i="96"/>
  <c r="G9" i="96"/>
  <c r="U9" i="96" s="1"/>
  <c r="R41" i="98"/>
  <c r="G8" i="96"/>
  <c r="R40" i="98"/>
  <c r="K6" i="96"/>
  <c r="B5" i="96"/>
  <c r="Q5" i="96"/>
  <c r="D5" i="96"/>
  <c r="U6" i="96" l="1"/>
  <c r="U22" i="96"/>
  <c r="R37" i="98"/>
  <c r="U24" i="96"/>
  <c r="U26" i="96"/>
  <c r="U28" i="96"/>
  <c r="U29" i="96"/>
  <c r="U30" i="96"/>
  <c r="U27" i="96"/>
  <c r="R68" i="98"/>
  <c r="U11" i="96"/>
  <c r="U16" i="96"/>
  <c r="U7" i="96"/>
  <c r="S6" i="96"/>
  <c r="M5" i="96"/>
  <c r="U8" i="96"/>
  <c r="U17" i="96"/>
  <c r="U15" i="96"/>
  <c r="U12" i="96"/>
  <c r="U23" i="96"/>
  <c r="R6" i="96"/>
  <c r="U10" i="96"/>
  <c r="J5" i="96"/>
  <c r="U21" i="96"/>
  <c r="G5" i="96"/>
  <c r="S5" i="96"/>
  <c r="K5" i="96"/>
  <c r="T5" i="96" s="1"/>
  <c r="O5" i="96" s="1"/>
  <c r="T6" i="96" l="1"/>
  <c r="O6" i="96" s="1"/>
  <c r="U5" i="96"/>
</calcChain>
</file>

<file path=xl/comments1.xml><?xml version="1.0" encoding="utf-8"?>
<comments xmlns="http://schemas.openxmlformats.org/spreadsheetml/2006/main">
  <authors>
    <author>admin</author>
  </authors>
  <commentList>
    <comment ref="B7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<sst xmlns="http://schemas.openxmlformats.org/spreadsheetml/2006/main" count="27457" uniqueCount="646">
  <si>
    <t>국유지 편입용지 집계표</t>
    <phoneticPr fontId="11" type="noConversion"/>
  </si>
  <si>
    <t>사유지 편입용지 집계표</t>
    <phoneticPr fontId="11" type="noConversion"/>
  </si>
  <si>
    <t>구분</t>
  </si>
  <si>
    <t>계</t>
  </si>
  <si>
    <t>필지</t>
  </si>
  <si>
    <t>/</t>
  </si>
  <si>
    <t>면적(㎡)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</si>
  <si>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</si>
  <si>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</si>
  <si>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</si>
  <si>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</si>
  <si>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</si>
  <si>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</si>
  <si>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</si>
  <si>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</si>
  <si>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</si>
  <si>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</si>
  <si>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</si>
  <si>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</si>
  <si>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</si>
  <si>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수도</t>
  </si>
  <si>
    <t>공장</t>
  </si>
  <si>
    <t>비고</t>
  </si>
  <si>
    <t>학교용지</t>
  </si>
  <si>
    <t>기타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</si>
  <si>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</si>
  <si>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</si>
  <si>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</si>
  <si>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</si>
  <si>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</si>
  <si>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</si>
  <si>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</si>
  <si>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</si>
  <si>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</si>
  <si>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</si>
  <si>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t>면 적</t>
  </si>
  <si>
    <t>성  명</t>
  </si>
  <si>
    <t>주  소</t>
  </si>
  <si>
    <t>권리관계</t>
  </si>
  <si>
    <t>소   계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</si>
  <si>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</si>
  <si>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철도</t>
  </si>
  <si>
    <t>종교</t>
  </si>
  <si>
    <t>염전</t>
  </si>
  <si>
    <t>공원</t>
  </si>
  <si>
    <t>체육</t>
  </si>
  <si>
    <t>유원지</t>
  </si>
  <si>
    <t>국  유  지</t>
  </si>
  <si>
    <t>사  유  지</t>
  </si>
  <si>
    <t>면 적 (㎡)</t>
  </si>
  <si>
    <t>총계</t>
  </si>
  <si>
    <t>국유지</t>
  </si>
  <si>
    <t>사유지</t>
  </si>
  <si>
    <t>국유지+사유지</t>
  </si>
  <si>
    <t>면적</t>
  </si>
  <si>
    <t>전체 편입용지 집계표</t>
    <phoneticPr fontId="11" type="noConversion"/>
  </si>
  <si>
    <t>주유소</t>
  </si>
  <si>
    <t>창고용지</t>
  </si>
  <si>
    <t>공  유  지</t>
  </si>
  <si>
    <t>공유지 편입용지 집계표</t>
    <phoneticPr fontId="11" type="noConversion"/>
  </si>
  <si>
    <t>주차장</t>
  </si>
  <si>
    <t>대</t>
    <phoneticPr fontId="11" type="noConversion"/>
  </si>
  <si>
    <t>전</t>
    <phoneticPr fontId="11" type="noConversion"/>
  </si>
  <si>
    <t>도</t>
    <phoneticPr fontId="11" type="noConversion"/>
  </si>
  <si>
    <t>임</t>
    <phoneticPr fontId="11" type="noConversion"/>
  </si>
  <si>
    <t>장</t>
    <phoneticPr fontId="11" type="noConversion"/>
  </si>
  <si>
    <t>목</t>
    <phoneticPr fontId="11" type="noConversion"/>
  </si>
  <si>
    <t>답</t>
    <phoneticPr fontId="11" type="noConversion"/>
  </si>
  <si>
    <t>묘</t>
    <phoneticPr fontId="11" type="noConversion"/>
  </si>
  <si>
    <t>구</t>
    <phoneticPr fontId="11" type="noConversion"/>
  </si>
  <si>
    <t>국</t>
    <phoneticPr fontId="11" type="noConversion"/>
  </si>
  <si>
    <t>공</t>
    <phoneticPr fontId="11" type="noConversion"/>
  </si>
  <si>
    <t>지번</t>
    <phoneticPr fontId="10" type="noConversion"/>
  </si>
  <si>
    <t>소유자</t>
    <phoneticPr fontId="10" type="noConversion"/>
  </si>
  <si>
    <t>성명</t>
    <phoneticPr fontId="10" type="noConversion"/>
  </si>
  <si>
    <t>주소</t>
    <phoneticPr fontId="10" type="noConversion"/>
  </si>
  <si>
    <t>관계인</t>
    <phoneticPr fontId="10" type="noConversion"/>
  </si>
  <si>
    <t>편입용지 집계표</t>
    <phoneticPr fontId="11" type="noConversion"/>
  </si>
  <si>
    <t>필지</t>
    <phoneticPr fontId="11" type="noConversion"/>
  </si>
  <si>
    <t>면적
(㎡)</t>
    <phoneticPr fontId="11" type="noConversion"/>
  </si>
  <si>
    <t>국유지</t>
    <phoneticPr fontId="11" type="noConversion"/>
  </si>
  <si>
    <t>공유지</t>
    <phoneticPr fontId="11" type="noConversion"/>
  </si>
  <si>
    <t>사유지</t>
    <phoneticPr fontId="11" type="noConversion"/>
  </si>
  <si>
    <t>천</t>
    <phoneticPr fontId="11" type="noConversion"/>
  </si>
  <si>
    <t>유</t>
    <phoneticPr fontId="11" type="noConversion"/>
  </si>
  <si>
    <t>제</t>
    <phoneticPr fontId="11" type="noConversion"/>
  </si>
  <si>
    <t>과</t>
    <phoneticPr fontId="11" type="noConversion"/>
  </si>
  <si>
    <t>학</t>
    <phoneticPr fontId="11" type="noConversion"/>
  </si>
  <si>
    <t>철</t>
    <phoneticPr fontId="11" type="noConversion"/>
  </si>
  <si>
    <t>수</t>
    <phoneticPr fontId="11" type="noConversion"/>
  </si>
  <si>
    <t>잡</t>
    <phoneticPr fontId="11" type="noConversion"/>
  </si>
  <si>
    <t>종</t>
    <phoneticPr fontId="11" type="noConversion"/>
  </si>
  <si>
    <t>염</t>
    <phoneticPr fontId="11" type="noConversion"/>
  </si>
  <si>
    <t>체</t>
    <phoneticPr fontId="11" type="noConversion"/>
  </si>
  <si>
    <t>주</t>
    <phoneticPr fontId="11" type="noConversion"/>
  </si>
  <si>
    <t>창</t>
    <phoneticPr fontId="11" type="noConversion"/>
  </si>
  <si>
    <t>차</t>
    <phoneticPr fontId="11" type="noConversion"/>
  </si>
  <si>
    <t>가</t>
    <phoneticPr fontId="11" type="noConversion"/>
  </si>
  <si>
    <t>사</t>
    <phoneticPr fontId="11" type="noConversion"/>
  </si>
  <si>
    <t>일련번호</t>
    <phoneticPr fontId="10" type="noConversion"/>
  </si>
  <si>
    <r>
      <t>지적
(m</t>
    </r>
    <r>
      <rPr>
        <vertAlign val="superscript"/>
        <sz val="9"/>
        <rFont val="돋움"/>
        <family val="3"/>
        <charset val="129"/>
      </rPr>
      <t>2</t>
    </r>
    <r>
      <rPr>
        <sz val="9"/>
        <rFont val="돋움"/>
        <family val="3"/>
        <charset val="129"/>
      </rPr>
      <t>)</t>
    </r>
    <phoneticPr fontId="10" type="noConversion"/>
  </si>
  <si>
    <r>
      <t>편입
면적
(m</t>
    </r>
    <r>
      <rPr>
        <vertAlign val="superscript"/>
        <sz val="9"/>
        <rFont val="돋움"/>
        <family val="3"/>
        <charset val="129"/>
      </rPr>
      <t>2</t>
    </r>
    <r>
      <rPr>
        <sz val="9"/>
        <rFont val="돋움"/>
        <family val="3"/>
        <charset val="129"/>
      </rPr>
      <t>)</t>
    </r>
    <phoneticPr fontId="10" type="noConversion"/>
  </si>
  <si>
    <t>계</t>
    <phoneticPr fontId="10" type="noConversion"/>
  </si>
  <si>
    <t>전체 편입용지 집계표</t>
    <phoneticPr fontId="11" type="noConversion"/>
  </si>
  <si>
    <t>비고</t>
    <phoneticPr fontId="11" type="noConversion"/>
  </si>
  <si>
    <t>면적(㎡)</t>
    <phoneticPr fontId="11" type="noConversion"/>
  </si>
  <si>
    <t>총계</t>
    <phoneticPr fontId="11" type="noConversion"/>
  </si>
  <si>
    <t>구분</t>
    <phoneticPr fontId="11" type="noConversion"/>
  </si>
  <si>
    <t>기타</t>
    <phoneticPr fontId="11" type="noConversion"/>
  </si>
  <si>
    <t>소계</t>
    <phoneticPr fontId="10" type="noConversion"/>
  </si>
  <si>
    <t>1015-35</t>
    <phoneticPr fontId="11" type="noConversion"/>
  </si>
  <si>
    <t>박**</t>
    <phoneticPr fontId="11" type="noConversion"/>
  </si>
  <si>
    <t>공시지가</t>
    <phoneticPr fontId="10" type="noConversion"/>
  </si>
  <si>
    <t>사유지</t>
    <phoneticPr fontId="10" type="noConversion"/>
  </si>
  <si>
    <t>국유지</t>
    <phoneticPr fontId="10" type="noConversion"/>
  </si>
  <si>
    <t>공시가격</t>
    <phoneticPr fontId="10" type="noConversion"/>
  </si>
  <si>
    <t>인천광역시 강화군 내가면 고천리</t>
    <phoneticPr fontId="11" type="noConversion"/>
  </si>
  <si>
    <t>833-2</t>
    <phoneticPr fontId="10" type="noConversion"/>
  </si>
  <si>
    <t>산494</t>
    <phoneticPr fontId="10" type="noConversion"/>
  </si>
  <si>
    <t>833-7</t>
    <phoneticPr fontId="10" type="noConversion"/>
  </si>
  <si>
    <t>833-8</t>
    <phoneticPr fontId="10" type="noConversion"/>
  </si>
  <si>
    <t>833-6</t>
    <phoneticPr fontId="10" type="noConversion"/>
  </si>
  <si>
    <t>832-1</t>
    <phoneticPr fontId="10" type="noConversion"/>
  </si>
  <si>
    <t>830-3</t>
    <phoneticPr fontId="10" type="noConversion"/>
  </si>
  <si>
    <t>830-4</t>
    <phoneticPr fontId="10" type="noConversion"/>
  </si>
  <si>
    <t>830-2</t>
    <phoneticPr fontId="10" type="noConversion"/>
  </si>
  <si>
    <t>산510-1</t>
    <phoneticPr fontId="10" type="noConversion"/>
  </si>
  <si>
    <t>산511-1</t>
    <phoneticPr fontId="10" type="noConversion"/>
  </si>
  <si>
    <t>828-2</t>
  </si>
  <si>
    <t>828-1</t>
    <phoneticPr fontId="10" type="noConversion"/>
  </si>
  <si>
    <t>830-1</t>
    <phoneticPr fontId="10" type="noConversion"/>
  </si>
  <si>
    <t>답</t>
    <phoneticPr fontId="10" type="noConversion"/>
  </si>
  <si>
    <t>임</t>
    <phoneticPr fontId="10" type="noConversion"/>
  </si>
  <si>
    <t>도</t>
    <phoneticPr fontId="10" type="noConversion"/>
  </si>
  <si>
    <t>대</t>
    <phoneticPr fontId="10" type="noConversion"/>
  </si>
  <si>
    <t>844-1</t>
    <phoneticPr fontId="10" type="noConversion"/>
  </si>
  <si>
    <t>846-1</t>
    <phoneticPr fontId="10" type="noConversion"/>
  </si>
  <si>
    <t>819-1</t>
    <phoneticPr fontId="10" type="noConversion"/>
  </si>
  <si>
    <t>820-1</t>
    <phoneticPr fontId="10" type="noConversion"/>
  </si>
  <si>
    <t>864-6</t>
    <phoneticPr fontId="10" type="noConversion"/>
  </si>
  <si>
    <t>864-7</t>
    <phoneticPr fontId="10" type="noConversion"/>
  </si>
  <si>
    <t>864-1</t>
    <phoneticPr fontId="10" type="noConversion"/>
  </si>
  <si>
    <t>864-5</t>
    <phoneticPr fontId="10" type="noConversion"/>
  </si>
  <si>
    <t>864-3</t>
    <phoneticPr fontId="10" type="noConversion"/>
  </si>
  <si>
    <t>1910-13</t>
    <phoneticPr fontId="10" type="noConversion"/>
  </si>
  <si>
    <t>787-1</t>
    <phoneticPr fontId="10" type="noConversion"/>
  </si>
  <si>
    <t>786-2</t>
    <phoneticPr fontId="10" type="noConversion"/>
  </si>
  <si>
    <t>786-1</t>
    <phoneticPr fontId="10" type="noConversion"/>
  </si>
  <si>
    <t>920-4</t>
    <phoneticPr fontId="10" type="noConversion"/>
  </si>
  <si>
    <t>920-5</t>
    <phoneticPr fontId="10" type="noConversion"/>
  </si>
  <si>
    <t>920-3</t>
    <phoneticPr fontId="10" type="noConversion"/>
  </si>
  <si>
    <t>1926-1</t>
    <phoneticPr fontId="10" type="noConversion"/>
  </si>
  <si>
    <t>천</t>
    <phoneticPr fontId="10" type="noConversion"/>
  </si>
  <si>
    <t>강화군</t>
    <phoneticPr fontId="10" type="noConversion"/>
  </si>
  <si>
    <t>-</t>
    <phoneticPr fontId="10" type="noConversion"/>
  </si>
  <si>
    <t>황</t>
    <phoneticPr fontId="10" type="noConversion"/>
  </si>
  <si>
    <t>김</t>
    <phoneticPr fontId="10" type="noConversion"/>
  </si>
  <si>
    <t>신</t>
    <phoneticPr fontId="10" type="noConversion"/>
  </si>
  <si>
    <t>이</t>
    <phoneticPr fontId="10" type="noConversion"/>
  </si>
  <si>
    <t>한</t>
    <phoneticPr fontId="10" type="noConversion"/>
  </si>
  <si>
    <t>국</t>
    <phoneticPr fontId="10" type="noConversion"/>
  </si>
  <si>
    <t>윤</t>
    <phoneticPr fontId="10" type="noConversion"/>
  </si>
  <si>
    <t>학</t>
    <phoneticPr fontId="10" type="noConversion"/>
  </si>
  <si>
    <t>조</t>
    <phoneticPr fontId="10" type="noConversion"/>
  </si>
  <si>
    <t>장</t>
    <phoneticPr fontId="10" type="noConversion"/>
  </si>
  <si>
    <t>방</t>
    <phoneticPr fontId="10" type="noConversion"/>
  </si>
  <si>
    <t>유</t>
    <phoneticPr fontId="10" type="noConversion"/>
  </si>
  <si>
    <t>송</t>
    <phoneticPr fontId="10" type="noConversion"/>
  </si>
  <si>
    <t>삼도농협</t>
    <phoneticPr fontId="10" type="noConversion"/>
  </si>
  <si>
    <t>박</t>
    <phoneticPr fontId="10" type="noConversion"/>
  </si>
  <si>
    <t>고</t>
    <phoneticPr fontId="10" type="noConversion"/>
  </si>
  <si>
    <t>산509-1</t>
    <phoneticPr fontId="11" type="noConversion"/>
  </si>
  <si>
    <t>산505</t>
    <phoneticPr fontId="10" type="noConversion"/>
  </si>
  <si>
    <t>임</t>
    <phoneticPr fontId="10" type="noConversion"/>
  </si>
  <si>
    <t>산505-1</t>
    <phoneticPr fontId="10" type="noConversion"/>
  </si>
  <si>
    <t>833-4</t>
    <phoneticPr fontId="10" type="noConversion"/>
  </si>
  <si>
    <t>도</t>
    <phoneticPr fontId="10" type="noConversion"/>
  </si>
  <si>
    <t>산504-9</t>
    <phoneticPr fontId="10" type="noConversion"/>
  </si>
  <si>
    <t>산504-4</t>
    <phoneticPr fontId="10" type="noConversion"/>
  </si>
  <si>
    <t>산504-5</t>
  </si>
  <si>
    <t>임</t>
    <phoneticPr fontId="10" type="noConversion"/>
  </si>
  <si>
    <t>임</t>
    <phoneticPr fontId="10" type="noConversion"/>
  </si>
  <si>
    <t>산507</t>
    <phoneticPr fontId="10" type="noConversion"/>
  </si>
  <si>
    <t>산507-1</t>
    <phoneticPr fontId="10" type="noConversion"/>
  </si>
  <si>
    <t>도</t>
    <phoneticPr fontId="10" type="noConversion"/>
  </si>
  <si>
    <t>산509</t>
    <phoneticPr fontId="11" type="noConversion"/>
  </si>
  <si>
    <t>산510</t>
    <phoneticPr fontId="10" type="noConversion"/>
  </si>
  <si>
    <t>831-1</t>
    <phoneticPr fontId="10" type="noConversion"/>
  </si>
  <si>
    <t>산511</t>
    <phoneticPr fontId="10" type="noConversion"/>
  </si>
  <si>
    <t>804-1</t>
    <phoneticPr fontId="10" type="noConversion"/>
  </si>
  <si>
    <t>804-3</t>
    <phoneticPr fontId="10" type="noConversion"/>
  </si>
  <si>
    <t>804-2</t>
    <phoneticPr fontId="10" type="noConversion"/>
  </si>
  <si>
    <t>대</t>
    <phoneticPr fontId="10" type="noConversion"/>
  </si>
  <si>
    <t>827-1</t>
    <phoneticPr fontId="10" type="noConversion"/>
  </si>
  <si>
    <t>826-2</t>
    <phoneticPr fontId="10" type="noConversion"/>
  </si>
  <si>
    <t>825-4</t>
    <phoneticPr fontId="10" type="noConversion"/>
  </si>
  <si>
    <t>825-2</t>
    <phoneticPr fontId="10" type="noConversion"/>
  </si>
  <si>
    <t>822-1</t>
    <phoneticPr fontId="10" type="noConversion"/>
  </si>
  <si>
    <t>821-1</t>
    <phoneticPr fontId="10" type="noConversion"/>
  </si>
  <si>
    <t>전</t>
    <phoneticPr fontId="10" type="noConversion"/>
  </si>
  <si>
    <t>819-2</t>
  </si>
  <si>
    <t>답</t>
    <phoneticPr fontId="10" type="noConversion"/>
  </si>
  <si>
    <t>788-3</t>
    <phoneticPr fontId="10" type="noConversion"/>
  </si>
  <si>
    <t>788-1</t>
    <phoneticPr fontId="10" type="noConversion"/>
  </si>
  <si>
    <t>조</t>
    <phoneticPr fontId="10" type="noConversion"/>
  </si>
  <si>
    <t>강화군</t>
    <phoneticPr fontId="10" type="noConversion"/>
  </si>
  <si>
    <t>김외1명</t>
    <phoneticPr fontId="10" type="noConversion"/>
  </si>
  <si>
    <t>학</t>
    <phoneticPr fontId="10" type="noConversion"/>
  </si>
  <si>
    <t>윤</t>
    <phoneticPr fontId="10" type="noConversion"/>
  </si>
  <si>
    <t>양</t>
    <phoneticPr fontId="10" type="noConversion"/>
  </si>
  <si>
    <t>김</t>
    <phoneticPr fontId="10" type="noConversion"/>
  </si>
  <si>
    <t>한</t>
    <phoneticPr fontId="10" type="noConversion"/>
  </si>
  <si>
    <t>안</t>
    <phoneticPr fontId="10" type="noConversion"/>
  </si>
  <si>
    <t>조외1명</t>
    <phoneticPr fontId="10" type="noConversion"/>
  </si>
  <si>
    <t>황</t>
    <phoneticPr fontId="10" type="noConversion"/>
  </si>
  <si>
    <t>송</t>
    <phoneticPr fontId="10" type="noConversion"/>
  </si>
  <si>
    <t>849-2</t>
    <phoneticPr fontId="11" type="noConversion"/>
  </si>
  <si>
    <t>864-4</t>
    <phoneticPr fontId="11" type="noConversion"/>
  </si>
  <si>
    <t>788-1</t>
    <phoneticPr fontId="11" type="noConversion"/>
  </si>
  <si>
    <t>919-4</t>
    <phoneticPr fontId="11" type="noConversion"/>
  </si>
  <si>
    <t>조</t>
    <phoneticPr fontId="11" type="noConversion"/>
  </si>
  <si>
    <t>김</t>
    <phoneticPr fontId="11" type="noConversion"/>
  </si>
  <si>
    <t>한</t>
    <phoneticPr fontId="11" type="noConversion"/>
  </si>
  <si>
    <t>전기배</t>
    <phoneticPr fontId="10" type="noConversion"/>
  </si>
  <si>
    <t>내가면 강화서로 227번길 16-28</t>
    <phoneticPr fontId="10" type="noConversion"/>
  </si>
  <si>
    <t>황인필</t>
    <phoneticPr fontId="10" type="noConversion"/>
  </si>
  <si>
    <t>고천리 915-10</t>
    <phoneticPr fontId="10" type="noConversion"/>
  </si>
  <si>
    <t>조근혁</t>
    <phoneticPr fontId="10" type="noConversion"/>
  </si>
  <si>
    <t>고천리 819</t>
    <phoneticPr fontId="10" type="noConversion"/>
  </si>
  <si>
    <t>한일섭</t>
    <phoneticPr fontId="10" type="noConversion"/>
  </si>
  <si>
    <t>인천광역시 부평구 길주로 623 101동1308</t>
    <phoneticPr fontId="10" type="noConversion"/>
  </si>
  <si>
    <t>황태구</t>
    <phoneticPr fontId="10" type="noConversion"/>
  </si>
  <si>
    <t>서울시 구로구 구로동 23.24 구로우성아파트 2-1102</t>
    <phoneticPr fontId="10" type="noConversion"/>
  </si>
  <si>
    <t>한민수</t>
    <phoneticPr fontId="10" type="noConversion"/>
  </si>
  <si>
    <t>송인숙</t>
    <phoneticPr fontId="10" type="noConversion"/>
  </si>
  <si>
    <t>인천광역시 서구 가좌동 129-43</t>
    <phoneticPr fontId="10" type="noConversion"/>
  </si>
  <si>
    <t>한호연</t>
    <phoneticPr fontId="10" type="noConversion"/>
  </si>
  <si>
    <t>고천리 857</t>
    <phoneticPr fontId="10" type="noConversion"/>
  </si>
  <si>
    <t>한영순</t>
    <phoneticPr fontId="10" type="noConversion"/>
  </si>
  <si>
    <t>인천 부평구 십정동 387-8</t>
    <phoneticPr fontId="10" type="noConversion"/>
  </si>
  <si>
    <t>김길자</t>
    <phoneticPr fontId="10" type="noConversion"/>
  </si>
  <si>
    <t>서울 강서구 화곡동 395-10 호성그린빌라 501호</t>
    <phoneticPr fontId="10" type="noConversion"/>
  </si>
  <si>
    <t>인천광역시</t>
    <phoneticPr fontId="10" type="noConversion"/>
  </si>
  <si>
    <t>삼도농업협동조합</t>
    <phoneticPr fontId="10" type="noConversion"/>
  </si>
  <si>
    <t>고천리 868-1</t>
    <phoneticPr fontId="10" type="noConversion"/>
  </si>
  <si>
    <t>고학준</t>
    <phoneticPr fontId="10" type="noConversion"/>
  </si>
  <si>
    <t>서울시 관악구 봉천동 1703 봉천동아파트 108-1202</t>
    <phoneticPr fontId="10" type="noConversion"/>
  </si>
  <si>
    <t>국</t>
    <phoneticPr fontId="10" type="noConversion"/>
  </si>
  <si>
    <t>국토해양부</t>
    <phoneticPr fontId="10" type="noConversion"/>
  </si>
  <si>
    <t>박상진</t>
    <phoneticPr fontId="10" type="noConversion"/>
  </si>
  <si>
    <t>고천리 914</t>
    <phoneticPr fontId="11" type="noConversion"/>
  </si>
  <si>
    <t>920-5</t>
    <phoneticPr fontId="10" type="noConversion"/>
  </si>
  <si>
    <t>조석구</t>
    <phoneticPr fontId="10" type="noConversion"/>
  </si>
  <si>
    <t>고천리 789</t>
    <phoneticPr fontId="11" type="noConversion"/>
  </si>
  <si>
    <t>조재유</t>
    <phoneticPr fontId="10" type="noConversion"/>
  </si>
  <si>
    <t>삼산면 매음리 124</t>
    <phoneticPr fontId="10" type="noConversion"/>
  </si>
  <si>
    <t>황영남</t>
    <phoneticPr fontId="10" type="noConversion"/>
  </si>
  <si>
    <t>고양시 일산구 대화동 2228 장성마을 101-802</t>
    <phoneticPr fontId="10" type="noConversion"/>
  </si>
  <si>
    <t>김성범</t>
    <phoneticPr fontId="10" type="noConversion"/>
  </si>
  <si>
    <t>강화읍 갑곳리 430 유성아파트 라-502</t>
    <phoneticPr fontId="10" type="noConversion"/>
  </si>
  <si>
    <t>윤옥상</t>
    <phoneticPr fontId="10" type="noConversion"/>
  </si>
  <si>
    <t>고천리 797</t>
    <phoneticPr fontId="10" type="noConversion"/>
  </si>
  <si>
    <t>서울시 관악구 봉천동 457-192</t>
    <phoneticPr fontId="10" type="noConversion"/>
  </si>
  <si>
    <t>신숙경</t>
    <phoneticPr fontId="10" type="noConversion"/>
  </si>
  <si>
    <t>고천리 830</t>
    <phoneticPr fontId="10" type="noConversion"/>
  </si>
  <si>
    <t>한대수</t>
    <phoneticPr fontId="10" type="noConversion"/>
  </si>
  <si>
    <t>내가면 강화서로 227번길 57-2</t>
    <phoneticPr fontId="10" type="noConversion"/>
  </si>
  <si>
    <t>신남이</t>
    <phoneticPr fontId="10" type="noConversion"/>
  </si>
  <si>
    <t>김사택</t>
    <phoneticPr fontId="10" type="noConversion"/>
  </si>
  <si>
    <t>고천리 1266</t>
    <phoneticPr fontId="10" type="noConversion"/>
  </si>
  <si>
    <t>학교법인 삼양학원</t>
    <phoneticPr fontId="10" type="noConversion"/>
  </si>
  <si>
    <t>고천리 879</t>
    <phoneticPr fontId="10" type="noConversion"/>
  </si>
  <si>
    <t>조재준</t>
    <phoneticPr fontId="10" type="noConversion"/>
  </si>
  <si>
    <t>인천시 남구 용현동 16-11</t>
    <phoneticPr fontId="10" type="noConversion"/>
  </si>
  <si>
    <t>양부석</t>
    <phoneticPr fontId="10" type="noConversion"/>
  </si>
  <si>
    <t>윤희선</t>
    <phoneticPr fontId="10" type="noConversion"/>
  </si>
  <si>
    <t>내가면 강화서로 213-4</t>
    <phoneticPr fontId="10" type="noConversion"/>
  </si>
  <si>
    <t>이주연</t>
    <phoneticPr fontId="10" type="noConversion"/>
  </si>
  <si>
    <t>양사면 전망대로 1133-1</t>
    <phoneticPr fontId="10" type="noConversion"/>
  </si>
  <si>
    <t>김순영</t>
    <phoneticPr fontId="10" type="noConversion"/>
  </si>
  <si>
    <t>인천광역시 서구 단봉로 12, 102동 803호 (왕길동, 유승아파트)</t>
    <phoneticPr fontId="10" type="noConversion"/>
  </si>
  <si>
    <t>김문구</t>
    <phoneticPr fontId="10" type="noConversion"/>
  </si>
  <si>
    <t>양도면 도장리 136-2</t>
    <phoneticPr fontId="10" type="noConversion"/>
  </si>
  <si>
    <t>한삼수</t>
    <phoneticPr fontId="10" type="noConversion"/>
  </si>
  <si>
    <t>고천리 806</t>
    <phoneticPr fontId="10" type="noConversion"/>
  </si>
  <si>
    <t>안선영
외1인</t>
    <phoneticPr fontId="10" type="noConversion"/>
  </si>
  <si>
    <t>고양시 일산동구 일산로 205, 210동 301호 (마두동, 백마마을)</t>
    <phoneticPr fontId="10" type="noConversion"/>
  </si>
  <si>
    <t>김향숙</t>
    <phoneticPr fontId="10" type="noConversion"/>
  </si>
  <si>
    <t>고양시 일산동구 장발산동 1122-5</t>
    <phoneticPr fontId="10" type="noConversion"/>
  </si>
  <si>
    <t>안선영</t>
    <phoneticPr fontId="10" type="noConversion"/>
  </si>
  <si>
    <t>조연순     외1인</t>
    <phoneticPr fontId="10" type="noConversion"/>
  </si>
  <si>
    <t>대전광역시 동구 동구청로 67, 101동 1404호(가오동, 은어송마을1단지)</t>
    <phoneticPr fontId="10" type="noConversion"/>
  </si>
  <si>
    <t>고천리 844</t>
    <phoneticPr fontId="10" type="noConversion"/>
  </si>
  <si>
    <t>한필교</t>
    <phoneticPr fontId="10" type="noConversion"/>
  </si>
  <si>
    <t>한상면</t>
    <phoneticPr fontId="10" type="noConversion"/>
  </si>
  <si>
    <t>고천리 886</t>
    <phoneticPr fontId="10" type="noConversion"/>
  </si>
  <si>
    <t>한윤현</t>
    <phoneticPr fontId="10" type="noConversion"/>
  </si>
  <si>
    <t>인천광역시 남동구 구월남로 345-3, 202호</t>
    <phoneticPr fontId="10" type="noConversion"/>
  </si>
  <si>
    <t>장일광</t>
    <phoneticPr fontId="10" type="noConversion"/>
  </si>
  <si>
    <t>내가면 강화서로 227번길 17-1</t>
    <phoneticPr fontId="10" type="noConversion"/>
  </si>
  <si>
    <t>인천 남구 학익동 645 신동아아파트 42-605</t>
    <phoneticPr fontId="10" type="noConversion"/>
  </si>
  <si>
    <t>방순란</t>
    <phoneticPr fontId="10" type="noConversion"/>
  </si>
  <si>
    <t>유선호</t>
    <phoneticPr fontId="10" type="noConversion"/>
  </si>
  <si>
    <t>화도면 해안남로 1691번길 30</t>
    <phoneticPr fontId="10" type="noConversion"/>
  </si>
  <si>
    <t>산490</t>
    <phoneticPr fontId="10" type="noConversion"/>
  </si>
  <si>
    <t>830-5</t>
    <phoneticPr fontId="10" type="noConversion"/>
  </si>
  <si>
    <t>823-3</t>
    <phoneticPr fontId="10" type="noConversion"/>
  </si>
  <si>
    <t>804-5</t>
    <phoneticPr fontId="10" type="noConversion"/>
  </si>
  <si>
    <t>804-6</t>
    <phoneticPr fontId="10" type="noConversion"/>
  </si>
  <si>
    <t>848-1</t>
    <phoneticPr fontId="10" type="noConversion"/>
  </si>
  <si>
    <t>864-4</t>
    <phoneticPr fontId="10" type="noConversion"/>
  </si>
  <si>
    <t>839-1</t>
    <phoneticPr fontId="10" type="noConversion"/>
  </si>
  <si>
    <t>전</t>
    <phoneticPr fontId="10" type="noConversion"/>
  </si>
  <si>
    <t>강성관</t>
    <phoneticPr fontId="10" type="noConversion"/>
  </si>
  <si>
    <t>양도면 건평리</t>
    <phoneticPr fontId="10" type="noConversion"/>
  </si>
  <si>
    <t>유옥원</t>
    <phoneticPr fontId="10" type="noConversion"/>
  </si>
  <si>
    <t>고천리 830</t>
    <phoneticPr fontId="10" type="noConversion"/>
  </si>
  <si>
    <t>이주연</t>
    <phoneticPr fontId="10" type="noConversion"/>
  </si>
  <si>
    <t>이한철</t>
    <phoneticPr fontId="10" type="noConversion"/>
  </si>
  <si>
    <t>인천 서구 가정동 500-18</t>
    <phoneticPr fontId="10" type="noConversion"/>
  </si>
  <si>
    <t>조은정</t>
    <phoneticPr fontId="10" type="noConversion"/>
  </si>
  <si>
    <t>인천광역시 서구 원당동 원당지구 80블럭 3,4롯트원당2차금호어울림 201-802</t>
    <phoneticPr fontId="10" type="noConversion"/>
  </si>
  <si>
    <t>고천리 790</t>
    <phoneticPr fontId="10" type="noConversion"/>
  </si>
  <si>
    <t>김종철</t>
    <phoneticPr fontId="10" type="noConversion"/>
  </si>
  <si>
    <t>인천 서구 심곡동 259-4 극동늘푸른아파트 108-1606</t>
    <phoneticPr fontId="10" type="noConversion"/>
  </si>
  <si>
    <t>이종원</t>
    <phoneticPr fontId="10" type="noConversion"/>
  </si>
  <si>
    <t>강화읍 강화대로 312번길 3</t>
    <phoneticPr fontId="10" type="noConversion"/>
  </si>
  <si>
    <t>조희순</t>
    <phoneticPr fontId="10" type="noConversion"/>
  </si>
  <si>
    <t>경기도 시흥시 비둘기공원7길 37, 202동 1702호(대야동, 청구아파트)</t>
    <phoneticPr fontId="10" type="noConversion"/>
  </si>
  <si>
    <t>804-4</t>
    <phoneticPr fontId="10" type="noConversion"/>
  </si>
  <si>
    <t>산505-2</t>
    <phoneticPr fontId="10" type="noConversion"/>
  </si>
  <si>
    <t>도</t>
    <phoneticPr fontId="10" type="noConversion"/>
  </si>
  <si>
    <t>국</t>
    <phoneticPr fontId="10" type="noConversion"/>
  </si>
  <si>
    <t>면적(㎡)</t>
    <phoneticPr fontId="11" type="noConversion"/>
  </si>
  <si>
    <t>경기도 포천시 가산면 마산리</t>
    <phoneticPr fontId="11" type="noConversion"/>
  </si>
  <si>
    <t>마산리</t>
    <phoneticPr fontId="11" type="noConversion"/>
  </si>
  <si>
    <t>감암리</t>
    <phoneticPr fontId="11" type="noConversion"/>
  </si>
  <si>
    <t>경기도 포천시 가산면</t>
    <phoneticPr fontId="11" type="noConversion"/>
  </si>
  <si>
    <t>계</t>
    <phoneticPr fontId="11" type="noConversion"/>
  </si>
  <si>
    <t>구분</t>
    <phoneticPr fontId="11" type="noConversion"/>
  </si>
  <si>
    <t>당초면적</t>
    <phoneticPr fontId="11" type="noConversion"/>
  </si>
  <si>
    <t>증가면적</t>
    <phoneticPr fontId="11" type="noConversion"/>
  </si>
  <si>
    <t>차이</t>
    <phoneticPr fontId="11" type="noConversion"/>
  </si>
  <si>
    <t>편입면적</t>
    <phoneticPr fontId="11" type="noConversion"/>
  </si>
  <si>
    <t>증가율(%)</t>
    <phoneticPr fontId="11" type="noConversion"/>
  </si>
  <si>
    <t>당초</t>
    <phoneticPr fontId="11" type="noConversion"/>
  </si>
  <si>
    <t>변경</t>
    <phoneticPr fontId="11" type="noConversion"/>
  </si>
  <si>
    <t>편입용지 집계표(변경)</t>
    <phoneticPr fontId="11" type="noConversion"/>
  </si>
  <si>
    <t>편입용지 집계표(당초)</t>
    <phoneticPr fontId="11" type="noConversion"/>
  </si>
  <si>
    <t>용지조서 지목별 집계표(전체분)</t>
    <phoneticPr fontId="11" type="noConversion"/>
  </si>
  <si>
    <t>구 분</t>
    <phoneticPr fontId="11" type="noConversion"/>
  </si>
  <si>
    <t>.</t>
    <phoneticPr fontId="11" type="noConversion"/>
  </si>
  <si>
    <t>구거</t>
    <phoneticPr fontId="11" type="noConversion"/>
  </si>
  <si>
    <t>유지</t>
    <phoneticPr fontId="11" type="noConversion"/>
  </si>
  <si>
    <t>학교</t>
    <phoneticPr fontId="11" type="noConversion"/>
  </si>
  <si>
    <t>임야</t>
    <phoneticPr fontId="11" type="noConversion"/>
  </si>
  <si>
    <t>대지</t>
    <phoneticPr fontId="11" type="noConversion"/>
  </si>
  <si>
    <t>도로</t>
    <phoneticPr fontId="11" type="noConversion"/>
  </si>
  <si>
    <t>경기도 포천시 가산면 감암리</t>
    <phoneticPr fontId="11" type="noConversion"/>
  </si>
  <si>
    <t>경기도 포천시 가산면 마산리</t>
    <phoneticPr fontId="11" type="noConversion"/>
  </si>
  <si>
    <t>공  유  지</t>
    <phoneticPr fontId="11" type="noConversion"/>
  </si>
  <si>
    <t xml:space="preserve"> </t>
    <phoneticPr fontId="11" type="noConversion"/>
  </si>
  <si>
    <t>답</t>
    <phoneticPr fontId="11" type="noConversion"/>
  </si>
  <si>
    <t>552-1</t>
    <phoneticPr fontId="11" type="noConversion"/>
  </si>
  <si>
    <t>552-2</t>
    <phoneticPr fontId="11" type="noConversion"/>
  </si>
  <si>
    <t>551-1</t>
    <phoneticPr fontId="11" type="noConversion"/>
  </si>
  <si>
    <t>543-8</t>
    <phoneticPr fontId="11" type="noConversion"/>
  </si>
  <si>
    <t>545-3</t>
    <phoneticPr fontId="11" type="noConversion"/>
  </si>
  <si>
    <t>545-1</t>
    <phoneticPr fontId="11" type="noConversion"/>
  </si>
  <si>
    <t>539-3</t>
    <phoneticPr fontId="11" type="noConversion"/>
  </si>
  <si>
    <t>539-4</t>
    <phoneticPr fontId="11" type="noConversion"/>
  </si>
  <si>
    <t>539-2</t>
    <phoneticPr fontId="11" type="noConversion"/>
  </si>
  <si>
    <t>521-11</t>
    <phoneticPr fontId="11" type="noConversion"/>
  </si>
  <si>
    <t>521-10</t>
    <phoneticPr fontId="11" type="noConversion"/>
  </si>
  <si>
    <t>522-3</t>
    <phoneticPr fontId="11" type="noConversion"/>
  </si>
  <si>
    <t>836</t>
    <phoneticPr fontId="11" type="noConversion"/>
  </si>
  <si>
    <t>529</t>
    <phoneticPr fontId="11" type="noConversion"/>
  </si>
  <si>
    <t>527</t>
    <phoneticPr fontId="11" type="noConversion"/>
  </si>
  <si>
    <t>482-3</t>
    <phoneticPr fontId="11" type="noConversion"/>
  </si>
  <si>
    <t>482-2</t>
    <phoneticPr fontId="11" type="noConversion"/>
  </si>
  <si>
    <t>481-1</t>
    <phoneticPr fontId="11" type="noConversion"/>
  </si>
  <si>
    <t>임</t>
    <phoneticPr fontId="11" type="noConversion"/>
  </si>
  <si>
    <t>산33</t>
    <phoneticPr fontId="11" type="noConversion"/>
  </si>
  <si>
    <t>559-3</t>
    <phoneticPr fontId="11" type="noConversion"/>
  </si>
  <si>
    <t>559-1</t>
    <phoneticPr fontId="11" type="noConversion"/>
  </si>
  <si>
    <t>558-2</t>
    <phoneticPr fontId="11" type="noConversion"/>
  </si>
  <si>
    <t>555-10</t>
    <phoneticPr fontId="11" type="noConversion"/>
  </si>
  <si>
    <t>555-9</t>
    <phoneticPr fontId="11" type="noConversion"/>
  </si>
  <si>
    <t>555-11</t>
    <phoneticPr fontId="11" type="noConversion"/>
  </si>
  <si>
    <t>555-2</t>
    <phoneticPr fontId="11" type="noConversion"/>
  </si>
  <si>
    <t>549-2</t>
    <phoneticPr fontId="11" type="noConversion"/>
  </si>
  <si>
    <t>546-2</t>
    <phoneticPr fontId="11" type="noConversion"/>
  </si>
  <si>
    <t>547-1</t>
    <phoneticPr fontId="11" type="noConversion"/>
  </si>
  <si>
    <t>538-1</t>
    <phoneticPr fontId="11" type="noConversion"/>
  </si>
  <si>
    <t>구</t>
    <phoneticPr fontId="11" type="noConversion"/>
  </si>
  <si>
    <t>521-5</t>
    <phoneticPr fontId="11" type="noConversion"/>
  </si>
  <si>
    <t>530-3</t>
    <phoneticPr fontId="11" type="noConversion"/>
  </si>
  <si>
    <t>목</t>
    <phoneticPr fontId="11" type="noConversion"/>
  </si>
  <si>
    <t>489-1</t>
    <phoneticPr fontId="11" type="noConversion"/>
  </si>
  <si>
    <t>대</t>
    <phoneticPr fontId="11" type="noConversion"/>
  </si>
  <si>
    <t>405-2</t>
    <phoneticPr fontId="11" type="noConversion"/>
  </si>
  <si>
    <t>406-1</t>
    <phoneticPr fontId="11" type="noConversion"/>
  </si>
  <si>
    <t>산102-3</t>
    <phoneticPr fontId="11" type="noConversion"/>
  </si>
  <si>
    <t>282-13</t>
    <phoneticPr fontId="11" type="noConversion"/>
  </si>
  <si>
    <t>263-7</t>
    <phoneticPr fontId="11" type="noConversion"/>
  </si>
  <si>
    <t>산110</t>
    <phoneticPr fontId="11" type="noConversion"/>
  </si>
  <si>
    <t>산111-9</t>
    <phoneticPr fontId="11" type="noConversion"/>
  </si>
  <si>
    <t>산118-1</t>
    <phoneticPr fontId="11" type="noConversion"/>
  </si>
  <si>
    <t>222-5</t>
    <phoneticPr fontId="11" type="noConversion"/>
  </si>
  <si>
    <t>산111-6</t>
    <phoneticPr fontId="11" type="noConversion"/>
  </si>
  <si>
    <t>산111-7</t>
    <phoneticPr fontId="11" type="noConversion"/>
  </si>
  <si>
    <t>산34-4</t>
    <phoneticPr fontId="11" type="noConversion"/>
  </si>
  <si>
    <t>산34-1</t>
    <phoneticPr fontId="11" type="noConversion"/>
  </si>
  <si>
    <t>405-1</t>
    <phoneticPr fontId="11" type="noConversion"/>
  </si>
  <si>
    <t>280-3</t>
    <phoneticPr fontId="11" type="noConversion"/>
  </si>
  <si>
    <t>262-5</t>
    <phoneticPr fontId="11" type="noConversion"/>
  </si>
  <si>
    <t>262-1</t>
    <phoneticPr fontId="11" type="noConversion"/>
  </si>
  <si>
    <t>262-2</t>
    <phoneticPr fontId="11" type="noConversion"/>
  </si>
  <si>
    <t>산108</t>
    <phoneticPr fontId="11" type="noConversion"/>
  </si>
  <si>
    <t>222-16</t>
    <phoneticPr fontId="11" type="noConversion"/>
  </si>
  <si>
    <t>222-17</t>
    <phoneticPr fontId="11" type="noConversion"/>
  </si>
  <si>
    <t>222-3</t>
    <phoneticPr fontId="11" type="noConversion"/>
  </si>
  <si>
    <t>222-2</t>
    <phoneticPr fontId="11" type="noConversion"/>
  </si>
  <si>
    <t>222-34</t>
    <phoneticPr fontId="11" type="noConversion"/>
  </si>
  <si>
    <t>222-32</t>
    <phoneticPr fontId="11" type="noConversion"/>
  </si>
  <si>
    <t>222-20</t>
    <phoneticPr fontId="11" type="noConversion"/>
  </si>
  <si>
    <t>222-9</t>
    <phoneticPr fontId="11" type="noConversion"/>
  </si>
  <si>
    <t>224-1</t>
    <phoneticPr fontId="11" type="noConversion"/>
  </si>
  <si>
    <t>223-8</t>
    <phoneticPr fontId="11" type="noConversion"/>
  </si>
  <si>
    <t>223-2</t>
    <phoneticPr fontId="11" type="noConversion"/>
  </si>
  <si>
    <t>223-4</t>
    <phoneticPr fontId="11" type="noConversion"/>
  </si>
  <si>
    <t>223-3</t>
    <phoneticPr fontId="11" type="noConversion"/>
  </si>
  <si>
    <t>창</t>
    <phoneticPr fontId="11" type="noConversion"/>
  </si>
  <si>
    <t>219-1</t>
    <phoneticPr fontId="11" type="noConversion"/>
  </si>
  <si>
    <t>산107-2</t>
    <phoneticPr fontId="11" type="noConversion"/>
  </si>
  <si>
    <t>222-22</t>
    <phoneticPr fontId="11" type="noConversion"/>
  </si>
  <si>
    <t>223-5</t>
    <phoneticPr fontId="11" type="noConversion"/>
  </si>
  <si>
    <t>223-1</t>
    <phoneticPr fontId="11" type="noConversion"/>
  </si>
  <si>
    <t>219-9</t>
    <phoneticPr fontId="11" type="noConversion"/>
  </si>
  <si>
    <t>219-7</t>
    <phoneticPr fontId="11" type="noConversion"/>
  </si>
  <si>
    <t>219-4</t>
    <phoneticPr fontId="11" type="noConversion"/>
  </si>
  <si>
    <t>223-7</t>
    <phoneticPr fontId="11" type="noConversion"/>
  </si>
  <si>
    <t>산106-1</t>
    <phoneticPr fontId="11" type="noConversion"/>
  </si>
  <si>
    <t>전</t>
    <phoneticPr fontId="11" type="noConversion"/>
  </si>
  <si>
    <t>562-4</t>
    <phoneticPr fontId="11" type="noConversion"/>
  </si>
  <si>
    <t>522-14</t>
    <phoneticPr fontId="11" type="noConversion"/>
  </si>
  <si>
    <t>산34-8</t>
    <phoneticPr fontId="11" type="noConversion"/>
  </si>
  <si>
    <t>555-12</t>
    <phoneticPr fontId="11" type="noConversion"/>
  </si>
  <si>
    <t>835-8</t>
    <phoneticPr fontId="11" type="noConversion"/>
  </si>
  <si>
    <t>산27-1</t>
    <phoneticPr fontId="11" type="noConversion"/>
  </si>
  <si>
    <t>410-4</t>
    <phoneticPr fontId="11" type="noConversion"/>
  </si>
  <si>
    <t>262-11</t>
    <phoneticPr fontId="11" type="noConversion"/>
  </si>
  <si>
    <t>262-9</t>
    <phoneticPr fontId="11" type="noConversion"/>
  </si>
  <si>
    <t>262-14</t>
    <phoneticPr fontId="11" type="noConversion"/>
  </si>
  <si>
    <t>263-22</t>
    <phoneticPr fontId="11" type="noConversion"/>
  </si>
  <si>
    <t>262-23</t>
    <phoneticPr fontId="11" type="noConversion"/>
  </si>
  <si>
    <t>263-25</t>
    <phoneticPr fontId="11" type="noConversion"/>
  </si>
  <si>
    <t>산103-3</t>
    <phoneticPr fontId="11" type="noConversion"/>
  </si>
  <si>
    <t>262-8</t>
    <phoneticPr fontId="11" type="noConversion"/>
  </si>
  <si>
    <t>262-12</t>
    <phoneticPr fontId="11" type="noConversion"/>
  </si>
  <si>
    <t>산108-1</t>
    <phoneticPr fontId="11" type="noConversion"/>
  </si>
  <si>
    <t>222-7</t>
    <phoneticPr fontId="11" type="noConversion"/>
  </si>
  <si>
    <t>222-1</t>
    <phoneticPr fontId="11" type="noConversion"/>
  </si>
  <si>
    <t>562-6</t>
    <phoneticPr fontId="11" type="noConversion"/>
  </si>
  <si>
    <t>558-3</t>
    <phoneticPr fontId="11" type="noConversion"/>
  </si>
  <si>
    <t>546-3</t>
    <phoneticPr fontId="11" type="noConversion"/>
  </si>
  <si>
    <t>835-4</t>
    <phoneticPr fontId="11" type="noConversion"/>
  </si>
  <si>
    <t>485-1</t>
    <phoneticPr fontId="11" type="noConversion"/>
  </si>
  <si>
    <t>559-2</t>
    <phoneticPr fontId="11" type="noConversion"/>
  </si>
  <si>
    <t>546-1</t>
    <phoneticPr fontId="11" type="noConversion"/>
  </si>
  <si>
    <t>차</t>
    <phoneticPr fontId="11" type="noConversion"/>
  </si>
  <si>
    <t>486-2</t>
    <phoneticPr fontId="11" type="noConversion"/>
  </si>
  <si>
    <t>목</t>
    <phoneticPr fontId="11" type="noConversion"/>
  </si>
  <si>
    <t>263-8</t>
    <phoneticPr fontId="11" type="noConversion"/>
  </si>
  <si>
    <t>263-29</t>
    <phoneticPr fontId="11" type="noConversion"/>
  </si>
  <si>
    <t>임</t>
    <phoneticPr fontId="11" type="noConversion"/>
  </si>
  <si>
    <t>1029-1</t>
    <phoneticPr fontId="11" type="noConversion"/>
  </si>
  <si>
    <t>도</t>
    <phoneticPr fontId="11" type="noConversion"/>
  </si>
  <si>
    <t>1033-3</t>
    <phoneticPr fontId="11" type="noConversion"/>
  </si>
  <si>
    <t>잡</t>
    <phoneticPr fontId="11" type="noConversion"/>
  </si>
  <si>
    <t>본번</t>
    <phoneticPr fontId="11" type="noConversion"/>
  </si>
  <si>
    <t>부번</t>
    <phoneticPr fontId="11" type="noConversion"/>
  </si>
  <si>
    <t>권리관계</t>
    <phoneticPr fontId="11" type="noConversion"/>
  </si>
  <si>
    <t>근저당</t>
    <phoneticPr fontId="11" type="noConversion"/>
  </si>
  <si>
    <t>1/2</t>
    <phoneticPr fontId="11" type="noConversion"/>
  </si>
  <si>
    <t>1/2</t>
    <phoneticPr fontId="11" type="noConversion"/>
  </si>
  <si>
    <t>근저당</t>
    <phoneticPr fontId="11" type="noConversion"/>
  </si>
  <si>
    <t>근저당, 지상권</t>
    <phoneticPr fontId="11" type="noConversion"/>
  </si>
  <si>
    <t>방산동</t>
    <phoneticPr fontId="11" type="noConversion"/>
  </si>
  <si>
    <t>1/5</t>
    <phoneticPr fontId="11" type="noConversion"/>
  </si>
  <si>
    <t>2/5</t>
    <phoneticPr fontId="11" type="noConversion"/>
  </si>
  <si>
    <t>근저당</t>
    <phoneticPr fontId="11" type="noConversion"/>
  </si>
  <si>
    <t>1/3</t>
    <phoneticPr fontId="11" type="noConversion"/>
  </si>
  <si>
    <t>압류</t>
    <phoneticPr fontId="11" type="noConversion"/>
  </si>
  <si>
    <t>압류</t>
    <phoneticPr fontId="11" type="noConversion"/>
  </si>
  <si>
    <t>1/5</t>
    <phoneticPr fontId="11" type="noConversion"/>
  </si>
  <si>
    <t>1/10</t>
    <phoneticPr fontId="11" type="noConversion"/>
  </si>
  <si>
    <t>1/10</t>
    <phoneticPr fontId="11" type="noConversion"/>
  </si>
  <si>
    <t>가등기
근저당, 가등기</t>
    <phoneticPr fontId="11" type="noConversion"/>
  </si>
  <si>
    <t>989259/1417640</t>
    <phoneticPr fontId="11" type="noConversion"/>
  </si>
  <si>
    <t>428381/1417640</t>
    <phoneticPr fontId="11" type="noConversion"/>
  </si>
  <si>
    <t>1/3</t>
    <phoneticPr fontId="11" type="noConversion"/>
  </si>
  <si>
    <t>2/3</t>
    <phoneticPr fontId="11" type="noConversion"/>
  </si>
  <si>
    <t>압류</t>
    <phoneticPr fontId="11" type="noConversion"/>
  </si>
  <si>
    <t>근저당
근저당</t>
    <phoneticPr fontId="11" type="noConversion"/>
  </si>
  <si>
    <t>33/1190</t>
    <phoneticPr fontId="11" type="noConversion"/>
  </si>
  <si>
    <t>1157/1190</t>
    <phoneticPr fontId="11" type="noConversion"/>
  </si>
  <si>
    <t>근저당
근저당, 지상권</t>
    <phoneticPr fontId="11" type="noConversion"/>
  </si>
  <si>
    <t>612/3242</t>
    <phoneticPr fontId="11" type="noConversion"/>
  </si>
  <si>
    <t>963/3242</t>
    <phoneticPr fontId="11" type="noConversion"/>
  </si>
  <si>
    <t>1667/3242</t>
    <phoneticPr fontId="11" type="noConversion"/>
  </si>
  <si>
    <t>근저당, 지상권</t>
    <phoneticPr fontId="11" type="noConversion"/>
  </si>
  <si>
    <t>"</t>
    <phoneticPr fontId="11" type="noConversion"/>
  </si>
  <si>
    <r>
      <t>편입면적(m</t>
    </r>
    <r>
      <rPr>
        <vertAlign val="superscript"/>
        <sz val="9"/>
        <rFont val="돋움"/>
        <family val="3"/>
        <charset val="129"/>
      </rPr>
      <t>2</t>
    </r>
    <r>
      <rPr>
        <sz val="9"/>
        <rFont val="돋움"/>
        <family val="3"/>
        <charset val="129"/>
      </rPr>
      <t>)</t>
    </r>
    <phoneticPr fontId="10" type="noConversion"/>
  </si>
  <si>
    <t>이00</t>
  </si>
  <si>
    <t>서울 서초구 동광로</t>
  </si>
  <si>
    <t>없00</t>
  </si>
  <si>
    <t/>
  </si>
  <si>
    <t>추00</t>
  </si>
  <si>
    <t>서울 강남구 광평로</t>
  </si>
  <si>
    <t>나00</t>
  </si>
  <si>
    <t xml:space="preserve">시흥시 문화마을로 </t>
  </si>
  <si>
    <t>한00</t>
  </si>
  <si>
    <t>시흥시 신현로 33</t>
  </si>
  <si>
    <t>강00</t>
  </si>
  <si>
    <t>시흥시 동서로 90</t>
  </si>
  <si>
    <t>안00</t>
  </si>
  <si>
    <t>시흥시 승지로 54</t>
  </si>
  <si>
    <t>정00</t>
  </si>
  <si>
    <t>시흥시 신현로 38</t>
  </si>
  <si>
    <t>북00</t>
  </si>
  <si>
    <t>시흥시 신현로 31</t>
  </si>
  <si>
    <t>김00</t>
  </si>
  <si>
    <t>시흥시 은행로 24</t>
  </si>
  <si>
    <t>심00</t>
  </si>
  <si>
    <t>서울 금천구 벚꽃로</t>
  </si>
  <si>
    <t>부00</t>
  </si>
  <si>
    <t>부천시 경인로 15</t>
  </si>
  <si>
    <t>시흥시 시흥대로26</t>
  </si>
  <si>
    <t>사망말소</t>
  </si>
  <si>
    <t>고양시 일산서구 고</t>
  </si>
  <si>
    <t>시흥시 수인로340</t>
  </si>
  <si>
    <t>부천시 경인로 28</t>
  </si>
  <si>
    <t>시흥시 355-22</t>
  </si>
  <si>
    <t>시흥시 신현로 35</t>
  </si>
  <si>
    <t>최00</t>
  </si>
  <si>
    <t>화성시 향남읍 행정</t>
  </si>
  <si>
    <t>국00</t>
  </si>
  <si>
    <t>생략</t>
  </si>
  <si>
    <t>시흥시 신현로 36</t>
  </si>
  <si>
    <t>시흥시 은행로 93</t>
  </si>
  <si>
    <t>서울 강남구 언주로</t>
  </si>
  <si>
    <t>삼00</t>
  </si>
  <si>
    <t>서울 강남구 테헤란</t>
  </si>
  <si>
    <t>유00</t>
  </si>
  <si>
    <t>시흥시 다지골길 2</t>
  </si>
  <si>
    <t>부천시 송내대로51</t>
  </si>
  <si>
    <t>경00</t>
  </si>
  <si>
    <t>부천시 송내대로 3</t>
  </si>
  <si>
    <t>시00</t>
  </si>
  <si>
    <t>서울 서초구 서초대</t>
  </si>
  <si>
    <t>시흥시 신현로 34</t>
  </si>
  <si>
    <t>부천시 소사구 심곡</t>
  </si>
  <si>
    <t>서울 구로구 남부순</t>
  </si>
  <si>
    <t>하00</t>
  </si>
  <si>
    <t>서울 서초구 방배로</t>
  </si>
  <si>
    <t>서울 강서구 허준로</t>
  </si>
  <si>
    <t>서울 영등포구  문</t>
  </si>
  <si>
    <t>서울 영등포구 도림</t>
  </si>
  <si>
    <t>박00</t>
  </si>
  <si>
    <t>시흥시 장곡로53번</t>
  </si>
  <si>
    <t>시흥시 시흥대로 1</t>
  </si>
  <si>
    <t>우00</t>
  </si>
  <si>
    <t xml:space="preserve"> 시흥시 비둘기공원</t>
  </si>
  <si>
    <t>시흥시 삼미시장4길</t>
  </si>
  <si>
    <t>부천시 소사로309</t>
  </si>
  <si>
    <t>부천시 삼작로256</t>
  </si>
  <si>
    <t>부천시 중동로280</t>
  </si>
  <si>
    <t>부천시 계남로 12</t>
  </si>
  <si>
    <t>부천군 오정면 학리</t>
  </si>
  <si>
    <t>세정과-877 (1</t>
  </si>
  <si>
    <t>서울 중구 태평로2</t>
  </si>
  <si>
    <t>임00</t>
  </si>
  <si>
    <t xml:space="preserve">시흥시 능곡중앙로 </t>
  </si>
  <si>
    <t>서울 강서구 강서로</t>
  </si>
  <si>
    <t>메00</t>
  </si>
  <si>
    <t>서울 영등포구 국제</t>
  </si>
  <si>
    <t>시흥시 은계남로 1</t>
  </si>
  <si>
    <t>시흥시 하중로133</t>
  </si>
  <si>
    <t>시흥시 신현로 39</t>
  </si>
  <si>
    <t>시흥시 호현로 30</t>
  </si>
  <si>
    <t>인천 부평구 수변로</t>
  </si>
  <si>
    <t>황00</t>
  </si>
  <si>
    <t>시흥시 마루미길 5</t>
  </si>
  <si>
    <t>시흥시 장곡로 11</t>
  </si>
  <si>
    <t>인천 연수구 한나루</t>
  </si>
  <si>
    <t>인00</t>
  </si>
  <si>
    <t>인천 남동구 호구포</t>
  </si>
  <si>
    <t>소00</t>
  </si>
  <si>
    <t>인천 연수구 해송로</t>
  </si>
  <si>
    <t>신00</t>
  </si>
  <si>
    <t>부천시 신흥로 17</t>
  </si>
  <si>
    <t>안산시 단원구 초지</t>
  </si>
  <si>
    <t>시흥시 마루미길 2</t>
  </si>
  <si>
    <t>서울 용산구 청파로</t>
  </si>
  <si>
    <t>서울 강서구 마곡서</t>
  </si>
  <si>
    <t>시흥시 마루미길 8</t>
  </si>
  <si>
    <t>전00</t>
  </si>
  <si>
    <t>인천 남동구 선수촌</t>
  </si>
  <si>
    <t>I00</t>
  </si>
  <si>
    <t>광명시 오리로 37</t>
  </si>
  <si>
    <t>확인불가</t>
  </si>
  <si>
    <t>시흥시 진말로 36</t>
  </si>
  <si>
    <t>시흥시 하우로 12</t>
  </si>
  <si>
    <t>시흥시 신현로 22</t>
  </si>
  <si>
    <t>시흥시 비둘기공원7</t>
  </si>
  <si>
    <t>시흥시 신현로 47</t>
  </si>
  <si>
    <t>시흥시 호현로22번</t>
  </si>
  <si>
    <t>부천시 조마루로 2</t>
  </si>
  <si>
    <t>부천시 경인로 12</t>
  </si>
  <si>
    <t>시흥시 방산동 26</t>
  </si>
  <si>
    <t>징수과-862(19</t>
  </si>
  <si>
    <t>조00</t>
  </si>
  <si>
    <t xml:space="preserve">시흥시 은계중앙로 </t>
  </si>
  <si>
    <t xml:space="preserve">인천 서구 건지로 </t>
  </si>
  <si>
    <t>시흥시 신현로 51</t>
  </si>
  <si>
    <t>시흥시 비둘기공원4</t>
  </si>
  <si>
    <t>시흥시 대골안길 3</t>
  </si>
  <si>
    <t>화성시 향남읍 하길</t>
  </si>
  <si>
    <t>서울 강서구 내발산</t>
  </si>
  <si>
    <t>인천 부평구 부일로</t>
  </si>
  <si>
    <t>용인시 기흥구 기흥</t>
  </si>
  <si>
    <t>경기도 가평군 설악</t>
  </si>
  <si>
    <t>만00</t>
  </si>
  <si>
    <t>시흥시 신현로 52</t>
  </si>
  <si>
    <t xml:space="preserve"> 시흥시 마루미길 </t>
  </si>
  <si>
    <t>부천시 부일로620</t>
  </si>
  <si>
    <t>서울 구로구 경인로</t>
  </si>
  <si>
    <r>
      <t>공부면적
(m</t>
    </r>
    <r>
      <rPr>
        <vertAlign val="superscript"/>
        <sz val="9"/>
        <rFont val="돋움"/>
        <family val="3"/>
        <charset val="129"/>
      </rPr>
      <t>2</t>
    </r>
    <r>
      <rPr>
        <sz val="9"/>
        <rFont val="돋움"/>
        <family val="3"/>
        <charset val="129"/>
      </rPr>
      <t>)</t>
    </r>
    <phoneticPr fontId="10" type="noConversion"/>
  </si>
  <si>
    <t>소재지</t>
    <phoneticPr fontId="10" type="noConversion"/>
  </si>
  <si>
    <t>지분</t>
    <phoneticPr fontId="10" type="noConversion"/>
  </si>
  <si>
    <t>소유자</t>
    <phoneticPr fontId="11" type="noConversion"/>
  </si>
  <si>
    <t>관계인</t>
    <phoneticPr fontId="11" type="noConversion"/>
  </si>
  <si>
    <t>성명</t>
    <phoneticPr fontId="11" type="noConversion"/>
  </si>
  <si>
    <t>주소</t>
    <phoneticPr fontId="11" type="noConversion"/>
  </si>
  <si>
    <t>성명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</si>
</sst>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 "/>
    <numFmt numFmtId="179" formatCode="#,##0_);[Red]\(#,##0\)"/>
    <numFmt numFmtId="180" formatCode="&quot;₩&quot;#,##0;[Red]&quot;₩&quot;&quot;₩&quot;\-#,##0"/>
    <numFmt numFmtId="181" formatCode="&quot;₩&quot;#,##0.00;[Red]&quot;₩&quot;&quot;₩&quot;&quot;₩&quot;&quot;₩&quot;&quot;₩&quot;&quot;₩&quot;\-#,##0.00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#,##0.0_ "/>
    <numFmt numFmtId="185" formatCode="0_ "/>
    <numFmt numFmtId="186" formatCode="#,##0.0_);[Red]\(#,##0.0\)"/>
    <numFmt numFmtId="187" formatCode="_-* #,##0.0_-;\-* #,##0.0_-;_-* &quot;-&quot;?_-;_-@_-"/>
    <numFmt numFmtId="188" formatCode="mm&quot;월&quot;\ dd&quot;일&quot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10"/>
      <name val="Arial"/>
      <family val="2"/>
    </font>
    <font>
      <sz val="12"/>
      <name val="뼻뮝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22"/>
      <name val="굴림체"/>
      <family val="3"/>
      <charset val="129"/>
    </font>
    <font>
      <b/>
      <sz val="13"/>
      <name val="굴림체"/>
      <family val="3"/>
      <charset val="129"/>
    </font>
    <font>
      <sz val="9"/>
      <name val="돋움"/>
      <family val="3"/>
      <charset val="129"/>
    </font>
    <font>
      <vertAlign val="superscript"/>
      <sz val="9"/>
      <name val="돋움"/>
      <family val="3"/>
      <charset val="129"/>
    </font>
    <font>
      <b/>
      <sz val="8"/>
      <name val="돋움"/>
      <family val="3"/>
      <charset val="129"/>
    </font>
    <font>
      <sz val="8"/>
      <color indexed="9"/>
      <name val="돋움"/>
      <family val="3"/>
      <charset val="129"/>
    </font>
    <font>
      <b/>
      <sz val="18"/>
      <name val="굴림체"/>
      <family val="3"/>
      <charset val="129"/>
    </font>
    <font>
      <b/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돋움"/>
      <family val="3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9"/>
      <color indexed="10"/>
      <name val="굴림"/>
      <family val="3"/>
      <charset val="129"/>
    </font>
    <font>
      <sz val="11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color rgb="FFFF0000"/>
      <name val="굴림체"/>
      <family val="3"/>
      <charset val="129"/>
    </font>
    <font>
      <sz val="8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0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0" fontId="9" fillId="0" borderId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179" fontId="1" fillId="0" borderId="0">
      <protection locked="0"/>
    </xf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9" fontId="1" fillId="0" borderId="0">
      <protection locked="0"/>
    </xf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179" fontId="1" fillId="0" borderId="0">
      <protection locked="0"/>
    </xf>
    <xf numFmtId="0" fontId="8" fillId="0" borderId="0"/>
    <xf numFmtId="179" fontId="1" fillId="0" borderId="0">
      <protection locked="0"/>
    </xf>
    <xf numFmtId="179" fontId="1" fillId="0" borderId="1">
      <protection locked="0"/>
    </xf>
    <xf numFmtId="41" fontId="1" fillId="0" borderId="0" applyFont="0" applyFill="0" applyBorder="0" applyAlignment="0" applyProtection="0">
      <alignment vertical="center"/>
    </xf>
  </cellStyleXfs>
  <cellXfs count="523">
    <xf numFmtId="0" fontId="0" fillId="0" borderId="0" xfId="0"/>
    <xf numFmtId="0" fontId="3" fillId="0" borderId="0" xfId="5" applyFont="1" applyAlignment="1" applyProtection="1">
      <alignment horizontal="centerContinuous"/>
    </xf>
    <xf numFmtId="0" fontId="5" fillId="0" borderId="2" xfId="5" applyFont="1" applyBorder="1" applyAlignment="1" applyProtection="1">
      <alignment horizontal="center" vertical="center" wrapText="1"/>
    </xf>
    <xf numFmtId="0" fontId="5" fillId="0" borderId="0" xfId="5" applyFont="1" applyAlignment="1" applyProtection="1">
      <alignment horizontal="centerContinuous"/>
    </xf>
    <xf numFmtId="0" fontId="5" fillId="0" borderId="0" xfId="5" applyFont="1" applyBorder="1" applyProtection="1"/>
    <xf numFmtId="0" fontId="5" fillId="0" borderId="0" xfId="5" applyFont="1"/>
    <xf numFmtId="0" fontId="5" fillId="0" borderId="0" xfId="5" applyFont="1" applyProtection="1"/>
    <xf numFmtId="0" fontId="5" fillId="0" borderId="0" xfId="5" applyFont="1" applyBorder="1" applyAlignment="1" applyProtection="1">
      <alignment horizontal="left"/>
    </xf>
    <xf numFmtId="0" fontId="5" fillId="0" borderId="3" xfId="5" applyFont="1" applyBorder="1" applyProtection="1"/>
    <xf numFmtId="0" fontId="5" fillId="0" borderId="4" xfId="5" applyFont="1" applyBorder="1" applyProtection="1"/>
    <xf numFmtId="0" fontId="5" fillId="0" borderId="5" xfId="5" applyFont="1" applyBorder="1" applyProtection="1"/>
    <xf numFmtId="0" fontId="5" fillId="0" borderId="6" xfId="5" applyFont="1" applyBorder="1" applyProtection="1"/>
    <xf numFmtId="0" fontId="5" fillId="0" borderId="7" xfId="5" applyFont="1" applyBorder="1" applyProtection="1"/>
    <xf numFmtId="0" fontId="5" fillId="0" borderId="8" xfId="5" applyFont="1" applyBorder="1" applyAlignment="1" applyProtection="1">
      <alignment horizontal="center" vertical="top" wrapText="1"/>
    </xf>
    <xf numFmtId="0" fontId="5" fillId="0" borderId="9" xfId="5" applyFont="1" applyBorder="1" applyAlignment="1" applyProtection="1">
      <alignment horizontal="center" vertical="center" wrapText="1"/>
    </xf>
    <xf numFmtId="0" fontId="5" fillId="0" borderId="9" xfId="5" applyFont="1" applyBorder="1" applyAlignment="1" applyProtection="1">
      <alignment horizontal="center" vertical="center"/>
    </xf>
    <xf numFmtId="0" fontId="5" fillId="0" borderId="0" xfId="5" applyFont="1" applyBorder="1" applyAlignment="1" applyProtection="1">
      <alignment horizontal="centerContinuous" vertical="center"/>
    </xf>
    <xf numFmtId="0" fontId="5" fillId="0" borderId="10" xfId="5" applyFont="1" applyBorder="1" applyAlignment="1" applyProtection="1">
      <alignment horizontal="centerContinuous" vertical="center" wrapText="1"/>
    </xf>
    <xf numFmtId="0" fontId="5" fillId="0" borderId="0" xfId="5" applyFont="1" applyBorder="1" applyAlignment="1" applyProtection="1">
      <alignment horizontal="centerContinuous" vertical="center" wrapText="1"/>
    </xf>
    <xf numFmtId="0" fontId="5" fillId="0" borderId="11" xfId="5" applyFont="1" applyBorder="1" applyAlignment="1" applyProtection="1">
      <alignment horizontal="centerContinuous" vertical="center"/>
    </xf>
    <xf numFmtId="0" fontId="5" fillId="0" borderId="12" xfId="5" applyFont="1" applyBorder="1" applyAlignment="1" applyProtection="1">
      <alignment horizontal="center" vertical="center"/>
    </xf>
    <xf numFmtId="0" fontId="5" fillId="0" borderId="13" xfId="5" applyFont="1" applyBorder="1" applyAlignment="1" applyProtection="1">
      <alignment horizontal="center" vertical="top" wrapText="1"/>
    </xf>
    <xf numFmtId="0" fontId="5" fillId="0" borderId="14" xfId="5" applyFont="1" applyBorder="1" applyProtection="1"/>
    <xf numFmtId="0" fontId="5" fillId="0" borderId="14" xfId="5" applyFont="1" applyBorder="1" applyAlignment="1" applyProtection="1">
      <alignment horizontal="center" vertical="center"/>
    </xf>
    <xf numFmtId="0" fontId="5" fillId="0" borderId="2" xfId="5" applyFont="1" applyBorder="1" applyAlignment="1" applyProtection="1">
      <alignment horizontal="center" vertical="center"/>
    </xf>
    <xf numFmtId="0" fontId="5" fillId="0" borderId="15" xfId="5" applyFont="1" applyBorder="1" applyAlignment="1" applyProtection="1">
      <alignment horizontal="center" vertical="top"/>
    </xf>
    <xf numFmtId="178" fontId="5" fillId="0" borderId="2" xfId="5" applyNumberFormat="1" applyFont="1" applyBorder="1" applyAlignment="1" applyProtection="1">
      <alignment horizontal="center" vertical="center" wrapText="1"/>
      <protection locked="0"/>
    </xf>
    <xf numFmtId="178" fontId="5" fillId="0" borderId="0" xfId="5" applyNumberFormat="1" applyFont="1" applyAlignment="1" applyProtection="1">
      <alignment horizontal="center" vertical="center" wrapText="1"/>
      <protection locked="0"/>
    </xf>
    <xf numFmtId="178" fontId="5" fillId="0" borderId="0" xfId="5" applyNumberFormat="1" applyFont="1" applyBorder="1" applyAlignment="1" applyProtection="1">
      <alignment horizontal="center" vertical="center" wrapText="1"/>
    </xf>
    <xf numFmtId="0" fontId="5" fillId="0" borderId="0" xfId="5" applyFont="1" applyBorder="1" applyAlignment="1" applyProtection="1">
      <alignment horizontal="center" vertical="center"/>
    </xf>
    <xf numFmtId="0" fontId="5" fillId="0" borderId="0" xfId="5" applyFont="1" applyBorder="1" applyAlignment="1" applyProtection="1">
      <alignment horizontal="center" vertical="center" wrapText="1"/>
    </xf>
    <xf numFmtId="0" fontId="5" fillId="0" borderId="16" xfId="5" applyFont="1" applyBorder="1" applyAlignment="1" applyProtection="1">
      <alignment horizontal="center" vertical="center" wrapText="1"/>
    </xf>
    <xf numFmtId="0" fontId="5" fillId="0" borderId="0" xfId="5" applyFont="1" applyBorder="1"/>
    <xf numFmtId="0" fontId="5" fillId="0" borderId="16" xfId="5" applyFont="1" applyBorder="1" applyAlignment="1" applyProtection="1">
      <alignment horizontal="distributed" vertical="center" wrapText="1"/>
    </xf>
    <xf numFmtId="0" fontId="7" fillId="0" borderId="0" xfId="5" applyFont="1" applyProtection="1">
      <protection locked="0"/>
    </xf>
    <xf numFmtId="49" fontId="5" fillId="0" borderId="0" xfId="5" applyNumberFormat="1" applyFont="1" applyAlignment="1" applyProtection="1">
      <alignment horizontal="centerContinuous"/>
    </xf>
    <xf numFmtId="49" fontId="5" fillId="0" borderId="0" xfId="5" applyNumberFormat="1" applyFont="1" applyProtection="1"/>
    <xf numFmtId="49" fontId="5" fillId="0" borderId="4" xfId="5" applyNumberFormat="1" applyFont="1" applyBorder="1" applyProtection="1"/>
    <xf numFmtId="49" fontId="5" fillId="0" borderId="9" xfId="5" applyNumberFormat="1" applyFont="1" applyBorder="1" applyAlignment="1" applyProtection="1">
      <alignment horizontal="center" vertical="center" wrapText="1"/>
    </xf>
    <xf numFmtId="49" fontId="5" fillId="0" borderId="14" xfId="5" applyNumberFormat="1" applyFont="1" applyBorder="1" applyProtection="1"/>
    <xf numFmtId="49" fontId="5" fillId="0" borderId="0" xfId="5" applyNumberFormat="1" applyFont="1"/>
    <xf numFmtId="0" fontId="4" fillId="0" borderId="17" xfId="5" applyFont="1" applyBorder="1" applyAlignment="1" applyProtection="1">
      <alignment horizontal="center" vertical="center" wrapText="1"/>
    </xf>
    <xf numFmtId="49" fontId="4" fillId="0" borderId="2" xfId="5" applyNumberFormat="1" applyFont="1" applyBorder="1" applyAlignment="1" applyProtection="1">
      <alignment horizontal="center" vertical="center" wrapText="1"/>
      <protection locked="0"/>
    </xf>
    <xf numFmtId="178" fontId="4" fillId="0" borderId="2" xfId="5" applyNumberFormat="1" applyFont="1" applyBorder="1" applyAlignment="1" applyProtection="1">
      <alignment horizontal="center" vertical="center" wrapText="1"/>
      <protection locked="0"/>
    </xf>
    <xf numFmtId="178" fontId="4" fillId="0" borderId="2" xfId="5" applyNumberFormat="1" applyFont="1" applyBorder="1" applyAlignment="1" applyProtection="1">
      <alignment horizontal="right" vertical="center"/>
      <protection locked="0"/>
    </xf>
    <xf numFmtId="0" fontId="4" fillId="0" borderId="18" xfId="5" applyFont="1" applyBorder="1" applyAlignment="1" applyProtection="1">
      <alignment horizontal="centerContinuous" vertical="center"/>
    </xf>
    <xf numFmtId="49" fontId="4" fillId="0" borderId="16" xfId="5" applyNumberFormat="1" applyFont="1" applyBorder="1" applyAlignment="1" applyProtection="1">
      <alignment horizontal="centerContinuous" vertical="center" wrapText="1"/>
    </xf>
    <xf numFmtId="0" fontId="4" fillId="0" borderId="16" xfId="5" applyFont="1" applyBorder="1" applyAlignment="1" applyProtection="1">
      <alignment horizontal="center" vertical="center" wrapText="1"/>
    </xf>
    <xf numFmtId="0" fontId="4" fillId="0" borderId="16" xfId="5" applyFont="1" applyBorder="1" applyAlignment="1" applyProtection="1">
      <alignment horizontal="right" vertical="center"/>
    </xf>
    <xf numFmtId="178" fontId="4" fillId="0" borderId="16" xfId="5" applyNumberFormat="1" applyFont="1" applyBorder="1" applyAlignment="1" applyProtection="1">
      <alignment horizontal="right" vertical="center"/>
    </xf>
    <xf numFmtId="178" fontId="5" fillId="0" borderId="19" xfId="5" applyNumberFormat="1" applyFont="1" applyBorder="1" applyAlignment="1" applyProtection="1">
      <alignment horizontal="center" vertical="center" wrapText="1"/>
      <protection locked="0"/>
    </xf>
    <xf numFmtId="0" fontId="5" fillId="0" borderId="20" xfId="5" applyFont="1" applyBorder="1" applyAlignment="1" applyProtection="1">
      <alignment horizontal="center" vertical="center" wrapText="1"/>
    </xf>
    <xf numFmtId="178" fontId="5" fillId="0" borderId="2" xfId="5" applyNumberFormat="1" applyFont="1" applyBorder="1" applyAlignment="1" applyProtection="1">
      <alignment horizontal="distributed" vertical="center" wrapText="1"/>
      <protection locked="0"/>
    </xf>
    <xf numFmtId="0" fontId="15" fillId="0" borderId="0" xfId="7" applyFont="1" applyBorder="1" applyAlignment="1">
      <alignment horizontal="centerContinuous" vertical="center"/>
    </xf>
    <xf numFmtId="0" fontId="15" fillId="0" borderId="0" xfId="7" applyFont="1" applyAlignment="1">
      <alignment horizontal="centerContinuous" vertical="center"/>
    </xf>
    <xf numFmtId="0" fontId="15" fillId="0" borderId="0" xfId="7" applyFont="1" applyAlignment="1">
      <alignment vertical="center"/>
    </xf>
    <xf numFmtId="0" fontId="15" fillId="0" borderId="0" xfId="7" applyFont="1" applyBorder="1" applyAlignment="1">
      <alignment horizontal="distributed"/>
    </xf>
    <xf numFmtId="0" fontId="15" fillId="0" borderId="0" xfId="7" applyFont="1" applyBorder="1"/>
    <xf numFmtId="0" fontId="13" fillId="0" borderId="0" xfId="0" applyFont="1" applyAlignment="1">
      <alignment horizontal="centerContinuous" vertical="center"/>
    </xf>
    <xf numFmtId="0" fontId="15" fillId="0" borderId="0" xfId="7" applyFont="1"/>
    <xf numFmtId="0" fontId="14" fillId="0" borderId="21" xfId="7" applyFont="1" applyBorder="1" applyAlignment="1">
      <alignment horizontal="distributed" wrapText="1"/>
    </xf>
    <xf numFmtId="0" fontId="14" fillId="0" borderId="22" xfId="7" applyFont="1" applyBorder="1" applyAlignment="1">
      <alignment horizontal="centerContinuous" vertical="center"/>
    </xf>
    <xf numFmtId="0" fontId="14" fillId="0" borderId="5" xfId="7" applyFont="1" applyBorder="1" applyAlignment="1">
      <alignment horizontal="centerContinuous" vertical="center"/>
    </xf>
    <xf numFmtId="0" fontId="14" fillId="0" borderId="23" xfId="7" applyFont="1" applyBorder="1" applyAlignment="1">
      <alignment horizontal="distributed" wrapText="1"/>
    </xf>
    <xf numFmtId="0" fontId="12" fillId="0" borderId="0" xfId="7" applyFont="1" applyAlignment="1">
      <alignment horizontal="center" vertical="center"/>
    </xf>
    <xf numFmtId="0" fontId="12" fillId="0" borderId="0" xfId="7" applyFont="1"/>
    <xf numFmtId="0" fontId="14" fillId="0" borderId="24" xfId="7" applyFont="1" applyBorder="1" applyAlignment="1">
      <alignment horizontal="distributed" wrapText="1"/>
    </xf>
    <xf numFmtId="0" fontId="14" fillId="0" borderId="25" xfId="7" applyFont="1" applyBorder="1" applyAlignment="1">
      <alignment horizontal="distributed" vertical="center" wrapText="1"/>
    </xf>
    <xf numFmtId="0" fontId="14" fillId="0" borderId="26" xfId="7" applyFont="1" applyBorder="1" applyAlignment="1">
      <alignment horizontal="distributed" vertical="center" wrapText="1"/>
    </xf>
    <xf numFmtId="0" fontId="14" fillId="0" borderId="27" xfId="7" applyFont="1" applyBorder="1"/>
    <xf numFmtId="0" fontId="12" fillId="0" borderId="0" xfId="7" applyFont="1" applyAlignment="1">
      <alignment horizontal="center" vertical="center" wrapText="1"/>
    </xf>
    <xf numFmtId="0" fontId="14" fillId="0" borderId="21" xfId="7" applyFont="1" applyBorder="1" applyAlignment="1">
      <alignment horizontal="distributed" vertical="center" wrapText="1"/>
    </xf>
    <xf numFmtId="179" fontId="12" fillId="0" borderId="5" xfId="7" applyNumberFormat="1" applyFont="1" applyBorder="1" applyAlignment="1">
      <alignment horizontal="center" vertical="center"/>
    </xf>
    <xf numFmtId="0" fontId="12" fillId="0" borderId="23" xfId="7" applyFont="1" applyBorder="1" applyAlignment="1">
      <alignment horizontal="center" vertical="center"/>
    </xf>
    <xf numFmtId="179" fontId="12" fillId="0" borderId="0" xfId="7" applyNumberFormat="1" applyFont="1" applyAlignment="1">
      <alignment horizontal="center" vertical="center"/>
    </xf>
    <xf numFmtId="0" fontId="14" fillId="0" borderId="28" xfId="7" applyFont="1" applyBorder="1" applyAlignment="1">
      <alignment horizontal="distributed" vertical="center" wrapText="1"/>
    </xf>
    <xf numFmtId="179" fontId="12" fillId="0" borderId="29" xfId="7" applyNumberFormat="1" applyFont="1" applyBorder="1" applyAlignment="1">
      <alignment horizontal="center" vertical="center"/>
    </xf>
    <xf numFmtId="0" fontId="12" fillId="0" borderId="30" xfId="7" applyFont="1" applyBorder="1" applyAlignment="1">
      <alignment horizontal="center" vertical="center"/>
    </xf>
    <xf numFmtId="0" fontId="14" fillId="0" borderId="28" xfId="7" applyFont="1" applyBorder="1" applyAlignment="1">
      <alignment horizontal="distributed" vertical="distributed" wrapText="1"/>
    </xf>
    <xf numFmtId="0" fontId="14" fillId="0" borderId="31" xfId="7" applyFont="1" applyBorder="1" applyAlignment="1">
      <alignment horizontal="distributed" vertical="center" wrapText="1"/>
    </xf>
    <xf numFmtId="0" fontId="14" fillId="0" borderId="32" xfId="7" applyFont="1" applyBorder="1" applyAlignment="1">
      <alignment horizontal="distributed" vertical="center" wrapText="1"/>
    </xf>
    <xf numFmtId="179" fontId="12" fillId="0" borderId="26" xfId="7" applyNumberFormat="1" applyFont="1" applyBorder="1" applyAlignment="1">
      <alignment horizontal="center" vertical="center"/>
    </xf>
    <xf numFmtId="0" fontId="12" fillId="0" borderId="33" xfId="7" applyFont="1" applyBorder="1" applyAlignment="1">
      <alignment horizontal="center" vertical="center"/>
    </xf>
    <xf numFmtId="0" fontId="15" fillId="0" borderId="0" xfId="7" applyFont="1" applyBorder="1" applyAlignment="1">
      <alignment horizontal="center" vertical="center" wrapText="1"/>
    </xf>
    <xf numFmtId="178" fontId="15" fillId="0" borderId="0" xfId="7" applyNumberFormat="1" applyFont="1" applyBorder="1" applyAlignment="1">
      <alignment horizontal="distributed" vertical="center"/>
    </xf>
    <xf numFmtId="178" fontId="15" fillId="0" borderId="0" xfId="7" applyNumberFormat="1" applyFont="1" applyBorder="1" applyAlignment="1">
      <alignment horizontal="center" vertical="center" wrapText="1"/>
    </xf>
    <xf numFmtId="0" fontId="18" fillId="0" borderId="0" xfId="7" applyFont="1" applyBorder="1" applyAlignment="1" applyProtection="1">
      <alignment horizontal="centerContinuous" vertical="center"/>
    </xf>
    <xf numFmtId="178" fontId="12" fillId="0" borderId="34" xfId="7" applyNumberFormat="1" applyFont="1" applyBorder="1" applyAlignment="1">
      <alignment horizontal="right" vertical="center"/>
    </xf>
    <xf numFmtId="178" fontId="12" fillId="0" borderId="35" xfId="7" applyNumberFormat="1" applyFont="1" applyBorder="1" applyAlignment="1">
      <alignment horizontal="right" vertical="center"/>
    </xf>
    <xf numFmtId="178" fontId="12" fillId="0" borderId="25" xfId="7" applyNumberFormat="1" applyFont="1" applyBorder="1" applyAlignment="1">
      <alignment horizontal="right" vertical="center"/>
    </xf>
    <xf numFmtId="0" fontId="12" fillId="0" borderId="36" xfId="5" applyNumberFormat="1" applyFont="1" applyFill="1" applyBorder="1" applyAlignment="1" applyProtection="1">
      <alignment horizontal="center" vertical="center" wrapText="1"/>
      <protection locked="0"/>
    </xf>
    <xf numFmtId="49" fontId="12" fillId="0" borderId="36" xfId="5" applyNumberFormat="1" applyFont="1" applyFill="1" applyBorder="1" applyAlignment="1" applyProtection="1">
      <alignment horizontal="center" vertical="center" wrapText="1"/>
      <protection locked="0"/>
    </xf>
    <xf numFmtId="179" fontId="17" fillId="0" borderId="0" xfId="6" applyNumberFormat="1" applyFont="1" applyAlignment="1">
      <alignment horizontal="centerContinuous"/>
    </xf>
    <xf numFmtId="179" fontId="15" fillId="0" borderId="0" xfId="6" applyNumberFormat="1" applyFont="1" applyAlignment="1">
      <alignment horizontal="right"/>
    </xf>
    <xf numFmtId="179" fontId="15" fillId="0" borderId="0" xfId="7" applyNumberFormat="1" applyFont="1" applyAlignment="1">
      <alignment horizontal="centerContinuous" vertical="center"/>
    </xf>
    <xf numFmtId="179" fontId="15" fillId="0" borderId="0" xfId="7" applyNumberFormat="1" applyFont="1" applyBorder="1"/>
    <xf numFmtId="179" fontId="15" fillId="0" borderId="0" xfId="7" applyNumberFormat="1" applyFont="1" applyBorder="1" applyAlignment="1">
      <alignment horizontal="centerContinuous" vertical="center"/>
    </xf>
    <xf numFmtId="179" fontId="16" fillId="0" borderId="0" xfId="7" applyNumberFormat="1" applyFont="1" applyAlignment="1">
      <alignment horizontal="centerContinuous" vertical="center"/>
    </xf>
    <xf numFmtId="0" fontId="14" fillId="0" borderId="37" xfId="7" applyFont="1" applyBorder="1" applyAlignment="1">
      <alignment horizontal="distributed" vertical="center" wrapText="1"/>
    </xf>
    <xf numFmtId="0" fontId="14" fillId="0" borderId="38" xfId="7" applyFont="1" applyBorder="1" applyAlignment="1">
      <alignment horizontal="distributed" vertical="center" wrapText="1"/>
    </xf>
    <xf numFmtId="179" fontId="14" fillId="0" borderId="27" xfId="7" applyNumberFormat="1" applyFont="1" applyBorder="1" applyAlignment="1">
      <alignment horizontal="distributed" vertical="center" wrapText="1"/>
    </xf>
    <xf numFmtId="0" fontId="14" fillId="0" borderId="39" xfId="7" applyFont="1" applyBorder="1" applyAlignment="1">
      <alignment horizontal="centerContinuous" vertical="center"/>
    </xf>
    <xf numFmtId="0" fontId="14" fillId="0" borderId="40" xfId="7" applyFont="1" applyBorder="1" applyAlignment="1">
      <alignment horizontal="centerContinuous" vertical="center"/>
    </xf>
    <xf numFmtId="179" fontId="14" fillId="0" borderId="41" xfId="7" applyNumberFormat="1" applyFont="1" applyBorder="1" applyAlignment="1">
      <alignment horizontal="centerContinuous" vertical="center"/>
    </xf>
    <xf numFmtId="0" fontId="14" fillId="0" borderId="36" xfId="7" applyFont="1" applyBorder="1" applyAlignment="1">
      <alignment horizontal="distributed" vertical="center" wrapText="1"/>
    </xf>
    <xf numFmtId="178" fontId="12" fillId="0" borderId="39" xfId="7" applyNumberFormat="1" applyFont="1" applyBorder="1" applyAlignment="1">
      <alignment horizontal="right" vertical="center"/>
    </xf>
    <xf numFmtId="179" fontId="12" fillId="0" borderId="40" xfId="7" applyNumberFormat="1" applyFont="1" applyBorder="1" applyAlignment="1">
      <alignment horizontal="center" vertical="center"/>
    </xf>
    <xf numFmtId="179" fontId="12" fillId="0" borderId="41" xfId="7" applyNumberFormat="1" applyFont="1" applyBorder="1" applyAlignment="1">
      <alignment horizontal="right" vertical="center"/>
    </xf>
    <xf numFmtId="0" fontId="12" fillId="0" borderId="41" xfId="7" applyFont="1" applyBorder="1" applyAlignment="1">
      <alignment horizontal="center" vertical="center"/>
    </xf>
    <xf numFmtId="0" fontId="14" fillId="0" borderId="36" xfId="7" applyFont="1" applyBorder="1" applyAlignment="1">
      <alignment horizontal="distributed" vertical="distributed" wrapText="1"/>
    </xf>
    <xf numFmtId="0" fontId="12" fillId="0" borderId="36" xfId="5" applyNumberFormat="1" applyFont="1" applyFill="1" applyBorder="1" applyAlignment="1" applyProtection="1">
      <alignment horizontal="center" vertical="center" wrapText="1"/>
    </xf>
    <xf numFmtId="178" fontId="12" fillId="0" borderId="0" xfId="5" applyNumberFormat="1" applyFont="1" applyFill="1" applyBorder="1" applyAlignment="1" applyProtection="1">
      <alignment horizontal="center" vertical="center" wrapText="1"/>
      <protection locked="0"/>
    </xf>
    <xf numFmtId="178" fontId="12" fillId="0" borderId="0" xfId="5" applyNumberFormat="1" applyFont="1" applyFill="1" applyBorder="1" applyAlignment="1" applyProtection="1">
      <alignment horizontal="center" vertical="center" wrapText="1"/>
    </xf>
    <xf numFmtId="0" fontId="12" fillId="0" borderId="0" xfId="5" applyFont="1" applyFill="1"/>
    <xf numFmtId="0" fontId="12" fillId="0" borderId="0" xfId="5" applyFont="1" applyFill="1" applyBorder="1" applyAlignment="1" applyProtection="1">
      <alignment horizontal="center" vertical="center" wrapText="1"/>
    </xf>
    <xf numFmtId="0" fontId="12" fillId="0" borderId="0" xfId="5" applyFont="1" applyFill="1" applyBorder="1" applyProtection="1"/>
    <xf numFmtId="0" fontId="12" fillId="0" borderId="0" xfId="5" applyFont="1" applyFill="1" applyBorder="1" applyAlignment="1" applyProtection="1">
      <alignment horizontal="center"/>
    </xf>
    <xf numFmtId="178" fontId="15" fillId="0" borderId="0" xfId="5" applyNumberFormat="1" applyFont="1" applyFill="1" applyBorder="1" applyAlignment="1" applyProtection="1">
      <alignment horizontal="center" vertical="center" wrapText="1"/>
    </xf>
    <xf numFmtId="0" fontId="12" fillId="0" borderId="0" xfId="5" applyFont="1" applyFill="1" applyBorder="1" applyAlignment="1" applyProtection="1">
      <alignment horizontal="center" vertical="top"/>
    </xf>
    <xf numFmtId="178" fontId="12" fillId="0" borderId="0" xfId="5" applyNumberFormat="1" applyFont="1" applyFill="1" applyBorder="1" applyAlignment="1" applyProtection="1">
      <alignment horizontal="center" vertical="center"/>
    </xf>
    <xf numFmtId="0" fontId="12" fillId="0" borderId="0" xfId="0" applyFont="1" applyFill="1"/>
    <xf numFmtId="49" fontId="12" fillId="0" borderId="0" xfId="5" applyNumberFormat="1" applyFont="1" applyFill="1"/>
    <xf numFmtId="0" fontId="12" fillId="0" borderId="0" xfId="5" applyFont="1" applyFill="1" applyAlignment="1">
      <alignment horizontal="right" vertical="center"/>
    </xf>
    <xf numFmtId="0" fontId="12" fillId="0" borderId="0" xfId="5" applyFont="1" applyFill="1" applyBorder="1"/>
    <xf numFmtId="179" fontId="12" fillId="0" borderId="42" xfId="7" applyNumberFormat="1" applyFont="1" applyBorder="1" applyAlignment="1">
      <alignment horizontal="right" vertical="center"/>
    </xf>
    <xf numFmtId="179" fontId="12" fillId="0" borderId="30" xfId="7" applyNumberFormat="1" applyFont="1" applyBorder="1" applyAlignment="1">
      <alignment horizontal="right" vertical="center"/>
    </xf>
    <xf numFmtId="179" fontId="12" fillId="0" borderId="33" xfId="7" applyNumberFormat="1" applyFont="1" applyBorder="1" applyAlignment="1">
      <alignment horizontal="right" vertical="center"/>
    </xf>
    <xf numFmtId="179" fontId="14" fillId="0" borderId="23" xfId="7" applyNumberFormat="1" applyFont="1" applyBorder="1" applyAlignment="1">
      <alignment horizontal="centerContinuous" vertical="center"/>
    </xf>
    <xf numFmtId="179" fontId="14" fillId="0" borderId="33" xfId="7" applyNumberFormat="1" applyFont="1" applyBorder="1" applyAlignment="1">
      <alignment horizontal="distributed" vertical="center" wrapText="1"/>
    </xf>
    <xf numFmtId="179" fontId="15" fillId="0" borderId="0" xfId="7" applyNumberFormat="1" applyFont="1" applyBorder="1" applyAlignment="1">
      <alignment horizontal="center" vertical="center" wrapText="1"/>
    </xf>
    <xf numFmtId="179" fontId="15" fillId="0" borderId="0" xfId="6" applyNumberFormat="1" applyFont="1" applyAlignment="1">
      <alignment horizontal="centerContinuous"/>
    </xf>
    <xf numFmtId="179" fontId="17" fillId="0" borderId="0" xfId="6" applyNumberFormat="1" applyFont="1" applyBorder="1"/>
    <xf numFmtId="179" fontId="17" fillId="0" borderId="0" xfId="6" applyNumberFormat="1" applyFont="1"/>
    <xf numFmtId="179" fontId="15" fillId="0" borderId="0" xfId="6" applyNumberFormat="1" applyFont="1"/>
    <xf numFmtId="179" fontId="15" fillId="0" borderId="0" xfId="6" quotePrefix="1" applyNumberFormat="1" applyFont="1" applyAlignment="1">
      <alignment horizontal="center"/>
    </xf>
    <xf numFmtId="179" fontId="15" fillId="0" borderId="0" xfId="6" applyNumberFormat="1" applyFont="1" applyAlignment="1">
      <alignment horizontal="center"/>
    </xf>
    <xf numFmtId="179" fontId="15" fillId="0" borderId="0" xfId="6" applyNumberFormat="1" applyFont="1" applyBorder="1"/>
    <xf numFmtId="179" fontId="12" fillId="0" borderId="0" xfId="6" applyNumberFormat="1" applyFont="1" applyBorder="1"/>
    <xf numFmtId="179" fontId="12" fillId="0" borderId="0" xfId="6" applyNumberFormat="1" applyFont="1"/>
    <xf numFmtId="179" fontId="15" fillId="0" borderId="0" xfId="7" applyNumberFormat="1" applyFont="1" applyAlignment="1">
      <alignment vertical="center"/>
    </xf>
    <xf numFmtId="179" fontId="15" fillId="0" borderId="0" xfId="7" applyNumberFormat="1" applyFont="1" applyBorder="1" applyAlignment="1">
      <alignment horizontal="distributed"/>
    </xf>
    <xf numFmtId="179" fontId="13" fillId="0" borderId="0" xfId="0" applyNumberFormat="1" applyFont="1" applyAlignment="1">
      <alignment horizontal="centerContinuous" vertical="center"/>
    </xf>
    <xf numFmtId="179" fontId="15" fillId="0" borderId="0" xfId="7" applyNumberFormat="1" applyFont="1"/>
    <xf numFmtId="179" fontId="12" fillId="0" borderId="0" xfId="7" applyNumberFormat="1" applyFont="1"/>
    <xf numFmtId="179" fontId="15" fillId="0" borderId="0" xfId="6" applyNumberFormat="1" applyFont="1" applyBorder="1" applyAlignment="1">
      <alignment horizontal="centerContinuous"/>
    </xf>
    <xf numFmtId="179" fontId="17" fillId="0" borderId="0" xfId="6" applyNumberFormat="1" applyFont="1" applyBorder="1" applyAlignment="1">
      <alignment horizontal="centerContinuous"/>
    </xf>
    <xf numFmtId="179" fontId="15" fillId="0" borderId="38" xfId="6" applyNumberFormat="1" applyFont="1" applyBorder="1"/>
    <xf numFmtId="179" fontId="15" fillId="0" borderId="38" xfId="6" applyNumberFormat="1" applyFont="1" applyBorder="1" applyAlignment="1">
      <alignment horizontal="center"/>
    </xf>
    <xf numFmtId="179" fontId="15" fillId="0" borderId="38" xfId="6" applyNumberFormat="1" applyFont="1" applyBorder="1" applyAlignment="1">
      <alignment horizontal="right"/>
    </xf>
    <xf numFmtId="0" fontId="12" fillId="0" borderId="36" xfId="0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5" applyNumberFormat="1" applyFont="1" applyFill="1" applyBorder="1" applyAlignment="1" applyProtection="1">
      <alignment horizontal="center" vertical="center" wrapText="1"/>
    </xf>
    <xf numFmtId="0" fontId="12" fillId="0" borderId="0" xfId="5" applyFont="1" applyFill="1" applyAlignment="1">
      <alignment horizontal="center"/>
    </xf>
    <xf numFmtId="184" fontId="12" fillId="0" borderId="36" xfId="5" applyNumberFormat="1" applyFont="1" applyFill="1" applyBorder="1" applyAlignment="1" applyProtection="1">
      <alignment horizontal="right" vertical="center"/>
      <protection locked="0"/>
    </xf>
    <xf numFmtId="184" fontId="12" fillId="0" borderId="0" xfId="5" applyNumberFormat="1" applyFont="1" applyFill="1" applyAlignment="1">
      <alignment horizontal="right" vertical="center"/>
    </xf>
    <xf numFmtId="184" fontId="12" fillId="0" borderId="0" xfId="5" applyNumberFormat="1" applyFont="1" applyFill="1" applyAlignment="1"/>
    <xf numFmtId="178" fontId="11" fillId="0" borderId="0" xfId="5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5" applyNumberFormat="1" applyFont="1" applyFill="1" applyBorder="1" applyAlignment="1" applyProtection="1">
      <alignment horizontal="center" vertical="center" wrapText="1"/>
    </xf>
    <xf numFmtId="0" fontId="11" fillId="0" borderId="0" xfId="5" applyFont="1" applyFill="1"/>
    <xf numFmtId="0" fontId="11" fillId="0" borderId="0" xfId="5" applyFont="1" applyFill="1" applyBorder="1" applyAlignment="1" applyProtection="1">
      <alignment horizontal="center" vertical="center" wrapText="1"/>
    </xf>
    <xf numFmtId="0" fontId="11" fillId="0" borderId="0" xfId="0" applyFont="1" applyFill="1"/>
    <xf numFmtId="178" fontId="11" fillId="5" borderId="0" xfId="5" applyNumberFormat="1" applyFont="1" applyFill="1" applyBorder="1" applyAlignment="1" applyProtection="1">
      <alignment horizontal="center" vertical="center" wrapText="1"/>
    </xf>
    <xf numFmtId="0" fontId="11" fillId="5" borderId="0" xfId="5" applyFont="1" applyFill="1"/>
    <xf numFmtId="179" fontId="23" fillId="0" borderId="0" xfId="7" applyNumberFormat="1" applyFont="1" applyBorder="1" applyAlignment="1">
      <alignment horizontal="centerContinuous" vertical="center"/>
    </xf>
    <xf numFmtId="179" fontId="24" fillId="0" borderId="0" xfId="7" applyNumberFormat="1" applyFont="1" applyBorder="1" applyAlignment="1" applyProtection="1">
      <alignment horizontal="right" vertical="center"/>
    </xf>
    <xf numFmtId="179" fontId="14" fillId="3" borderId="43" xfId="7" applyNumberFormat="1" applyFont="1" applyFill="1" applyBorder="1" applyAlignment="1">
      <alignment horizontal="centerContinuous" vertical="center"/>
    </xf>
    <xf numFmtId="179" fontId="12" fillId="0" borderId="19" xfId="7" applyNumberFormat="1" applyFont="1" applyBorder="1" applyAlignment="1">
      <alignment horizontal="center" vertical="center"/>
    </xf>
    <xf numFmtId="179" fontId="12" fillId="0" borderId="20" xfId="7" applyNumberFormat="1" applyFont="1" applyBorder="1" applyAlignment="1">
      <alignment horizontal="center" vertical="center"/>
    </xf>
    <xf numFmtId="179" fontId="12" fillId="0" borderId="44" xfId="7" applyNumberFormat="1" applyFont="1" applyBorder="1" applyAlignment="1">
      <alignment horizontal="center" vertical="center"/>
    </xf>
    <xf numFmtId="179" fontId="14" fillId="3" borderId="45" xfId="7" applyNumberFormat="1" applyFont="1" applyFill="1" applyBorder="1" applyAlignment="1">
      <alignment horizontal="center" vertical="center" wrapText="1"/>
    </xf>
    <xf numFmtId="179" fontId="14" fillId="3" borderId="26" xfId="7" applyNumberFormat="1" applyFont="1" applyFill="1" applyBorder="1" applyAlignment="1">
      <alignment horizontal="center" vertical="center" wrapText="1"/>
    </xf>
    <xf numFmtId="179" fontId="14" fillId="3" borderId="46" xfId="7" applyNumberFormat="1" applyFont="1" applyFill="1" applyBorder="1" applyAlignment="1">
      <alignment horizontal="center" vertical="center" wrapText="1"/>
    </xf>
    <xf numFmtId="179" fontId="12" fillId="0" borderId="47" xfId="7" applyNumberFormat="1" applyFont="1" applyBorder="1" applyAlignment="1">
      <alignment horizontal="right" vertical="center"/>
    </xf>
    <xf numFmtId="179" fontId="12" fillId="0" borderId="48" xfId="7" applyNumberFormat="1" applyFont="1" applyBorder="1" applyAlignment="1">
      <alignment horizontal="center" vertical="center"/>
    </xf>
    <xf numFmtId="186" fontId="12" fillId="0" borderId="49" xfId="7" applyNumberFormat="1" applyFont="1" applyBorder="1" applyAlignment="1">
      <alignment horizontal="right" vertical="center"/>
    </xf>
    <xf numFmtId="179" fontId="12" fillId="0" borderId="50" xfId="7" applyNumberFormat="1" applyFont="1" applyBorder="1" applyAlignment="1">
      <alignment horizontal="right" vertical="center"/>
    </xf>
    <xf numFmtId="186" fontId="12" fillId="0" borderId="51" xfId="7" applyNumberFormat="1" applyFont="1" applyBorder="1" applyAlignment="1">
      <alignment horizontal="right" vertical="center"/>
    </xf>
    <xf numFmtId="179" fontId="12" fillId="0" borderId="45" xfId="7" applyNumberFormat="1" applyFont="1" applyBorder="1" applyAlignment="1">
      <alignment horizontal="right" vertical="center"/>
    </xf>
    <xf numFmtId="186" fontId="12" fillId="0" borderId="46" xfId="7" applyNumberFormat="1" applyFont="1" applyBorder="1" applyAlignment="1">
      <alignment horizontal="right" vertical="center"/>
    </xf>
    <xf numFmtId="179" fontId="12" fillId="0" borderId="13" xfId="7" applyNumberFormat="1" applyFont="1" applyBorder="1" applyAlignment="1">
      <alignment horizontal="center" vertical="center" wrapText="1"/>
    </xf>
    <xf numFmtId="179" fontId="12" fillId="0" borderId="17" xfId="7" applyNumberFormat="1" applyFont="1" applyBorder="1" applyAlignment="1">
      <alignment horizontal="center" vertical="center" wrapText="1"/>
    </xf>
    <xf numFmtId="179" fontId="12" fillId="0" borderId="17" xfId="7" applyNumberFormat="1" applyFont="1" applyBorder="1" applyAlignment="1">
      <alignment horizontal="center" vertical="distributed" wrapText="1"/>
    </xf>
    <xf numFmtId="179" fontId="12" fillId="0" borderId="18" xfId="7" applyNumberFormat="1" applyFont="1" applyBorder="1" applyAlignment="1">
      <alignment horizontal="center" vertical="center" wrapText="1"/>
    </xf>
    <xf numFmtId="178" fontId="19" fillId="0" borderId="0" xfId="5" applyNumberFormat="1" applyFont="1" applyFill="1" applyBorder="1" applyAlignment="1" applyProtection="1">
      <alignment horizontal="center" vertical="center" wrapText="1"/>
      <protection locked="0"/>
    </xf>
    <xf numFmtId="179" fontId="12" fillId="0" borderId="0" xfId="7" applyNumberFormat="1" applyFont="1" applyBorder="1" applyAlignment="1">
      <alignment horizontal="center" vertical="center"/>
    </xf>
    <xf numFmtId="0" fontId="19" fillId="4" borderId="0" xfId="5" applyNumberFormat="1" applyFont="1" applyFill="1" applyBorder="1" applyAlignment="1" applyProtection="1">
      <alignment horizontal="center" wrapText="1"/>
    </xf>
    <xf numFmtId="0" fontId="19" fillId="4" borderId="0" xfId="5" applyNumberFormat="1" applyFont="1" applyFill="1" applyBorder="1" applyAlignment="1" applyProtection="1">
      <alignment horizontal="center" vertical="top" wrapText="1"/>
    </xf>
    <xf numFmtId="0" fontId="11" fillId="0" borderId="0" xfId="0" quotePrefix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5" applyNumberFormat="1" applyFont="1" applyFill="1" applyBorder="1" applyAlignment="1" applyProtection="1">
      <alignment horizontal="center" vertical="center" wrapText="1"/>
    </xf>
    <xf numFmtId="0" fontId="11" fillId="5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79" fontId="11" fillId="0" borderId="2" xfId="0" applyNumberFormat="1" applyFont="1" applyFill="1" applyBorder="1" applyAlignment="1">
      <alignment vertical="center"/>
    </xf>
    <xf numFmtId="179" fontId="11" fillId="0" borderId="2" xfId="0" applyNumberFormat="1" applyFont="1" applyFill="1" applyBorder="1" applyAlignment="1">
      <alignment horizontal="center" vertical="center" wrapText="1"/>
    </xf>
    <xf numFmtId="0" fontId="11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11" fillId="0" borderId="19" xfId="0" quotePrefix="1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179" fontId="11" fillId="5" borderId="2" xfId="0" applyNumberFormat="1" applyFont="1" applyFill="1" applyBorder="1" applyAlignment="1">
      <alignment vertical="center"/>
    </xf>
    <xf numFmtId="179" fontId="11" fillId="5" borderId="2" xfId="0" applyNumberFormat="1" applyFont="1" applyFill="1" applyBorder="1" applyAlignment="1">
      <alignment horizontal="center" vertical="center" wrapText="1"/>
    </xf>
    <xf numFmtId="0" fontId="11" fillId="5" borderId="2" xfId="5" applyNumberFormat="1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>
      <alignment horizontal="center" vertical="center"/>
    </xf>
    <xf numFmtId="49" fontId="11" fillId="0" borderId="2" xfId="0" applyNumberFormat="1" applyFont="1" applyBorder="1" applyAlignment="1" applyProtection="1">
      <alignment horizontal="center" vertical="center" wrapText="1"/>
      <protection locked="0"/>
    </xf>
    <xf numFmtId="187" fontId="11" fillId="0" borderId="2" xfId="0" applyNumberFormat="1" applyFont="1" applyFill="1" applyBorder="1" applyAlignment="1">
      <alignment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2" fillId="0" borderId="2" xfId="0" applyNumberFormat="1" applyFont="1" applyFill="1" applyBorder="1" applyAlignment="1">
      <alignment horizontal="center" vertical="center" wrapText="1"/>
    </xf>
    <xf numFmtId="0" fontId="21" fillId="0" borderId="18" xfId="0" applyNumberFormat="1" applyFont="1" applyBorder="1" applyAlignment="1" applyProtection="1">
      <alignment horizontal="centerContinuous" vertical="center" wrapText="1"/>
    </xf>
    <xf numFmtId="0" fontId="21" fillId="0" borderId="16" xfId="0" applyNumberFormat="1" applyFont="1" applyBorder="1" applyAlignment="1" applyProtection="1">
      <alignment horizontal="centerContinuous" vertical="center" wrapText="1"/>
    </xf>
    <xf numFmtId="187" fontId="11" fillId="0" borderId="16" xfId="5" applyNumberFormat="1" applyFont="1" applyFill="1" applyBorder="1" applyAlignment="1" applyProtection="1">
      <alignment horizontal="right" vertical="center"/>
    </xf>
    <xf numFmtId="0" fontId="11" fillId="0" borderId="16" xfId="5" applyNumberFormat="1" applyFont="1" applyFill="1" applyBorder="1" applyAlignment="1" applyProtection="1">
      <alignment horizontal="center" vertical="center" wrapText="1"/>
    </xf>
    <xf numFmtId="0" fontId="11" fillId="0" borderId="20" xfId="5" applyNumberFormat="1" applyFont="1" applyFill="1" applyBorder="1" applyAlignment="1" applyProtection="1">
      <alignment horizontal="center" vertical="center" wrapText="1"/>
    </xf>
    <xf numFmtId="0" fontId="19" fillId="4" borderId="43" xfId="5" applyNumberFormat="1" applyFont="1" applyFill="1" applyBorder="1" applyAlignment="1" applyProtection="1">
      <alignment horizontal="centerContinuous" vertical="center" wrapText="1"/>
    </xf>
    <xf numFmtId="0" fontId="11" fillId="0" borderId="13" xfId="0" applyFont="1" applyBorder="1" applyAlignment="1">
      <alignment horizontal="center" vertical="center"/>
    </xf>
    <xf numFmtId="179" fontId="11" fillId="0" borderId="14" xfId="0" applyNumberFormat="1" applyFont="1" applyFill="1" applyBorder="1" applyAlignment="1">
      <alignment vertical="center"/>
    </xf>
    <xf numFmtId="179" fontId="11" fillId="0" borderId="14" xfId="0" applyNumberFormat="1" applyFont="1" applyFill="1" applyBorder="1" applyAlignment="1">
      <alignment horizontal="center" vertical="center" wrapText="1"/>
    </xf>
    <xf numFmtId="0" fontId="11" fillId="0" borderId="14" xfId="5" applyNumberFormat="1" applyFont="1" applyFill="1" applyBorder="1" applyAlignment="1" applyProtection="1">
      <alignment horizontal="center" vertical="center" wrapText="1"/>
      <protection locked="0"/>
    </xf>
    <xf numFmtId="0" fontId="11" fillId="0" borderId="44" xfId="0" quotePrefix="1" applyFont="1" applyFill="1" applyBorder="1" applyAlignment="1">
      <alignment horizontal="center" vertical="center" wrapText="1"/>
    </xf>
    <xf numFmtId="0" fontId="19" fillId="4" borderId="16" xfId="5" applyNumberFormat="1" applyFont="1" applyFill="1" applyBorder="1" applyAlignment="1" applyProtection="1">
      <alignment horizontal="distributed" vertical="center" wrapText="1"/>
    </xf>
    <xf numFmtId="0" fontId="19" fillId="4" borderId="16" xfId="5" applyNumberFormat="1" applyFont="1" applyFill="1" applyBorder="1" applyAlignment="1" applyProtection="1">
      <alignment horizontal="center" vertical="center" wrapText="1"/>
    </xf>
    <xf numFmtId="185" fontId="11" fillId="0" borderId="14" xfId="4" applyNumberFormat="1" applyFont="1" applyFill="1" applyBorder="1" applyAlignment="1">
      <alignment horizontal="center" vertical="center"/>
    </xf>
    <xf numFmtId="179" fontId="11" fillId="0" borderId="14" xfId="4" applyNumberFormat="1" applyFont="1" applyFill="1" applyBorder="1" applyAlignment="1">
      <alignment horizontal="center" vertical="center"/>
    </xf>
    <xf numFmtId="179" fontId="11" fillId="0" borderId="14" xfId="4" applyNumberFormat="1" applyFont="1" applyFill="1" applyBorder="1" applyAlignment="1">
      <alignment horizontal="right" vertical="center"/>
    </xf>
    <xf numFmtId="179" fontId="11" fillId="0" borderId="14" xfId="4" applyNumberFormat="1" applyFont="1" applyFill="1" applyBorder="1" applyAlignment="1">
      <alignment horizontal="center" vertical="center" shrinkToFit="1"/>
    </xf>
    <xf numFmtId="185" fontId="11" fillId="0" borderId="2" xfId="4" applyNumberFormat="1" applyFont="1" applyFill="1" applyBorder="1" applyAlignment="1">
      <alignment horizontal="center" vertical="center"/>
    </xf>
    <xf numFmtId="179" fontId="11" fillId="0" borderId="2" xfId="4" applyNumberFormat="1" applyFont="1" applyFill="1" applyBorder="1" applyAlignment="1">
      <alignment horizontal="center" vertical="center"/>
    </xf>
    <xf numFmtId="179" fontId="11" fillId="0" borderId="2" xfId="4" applyNumberFormat="1" applyFont="1" applyFill="1" applyBorder="1" applyAlignment="1">
      <alignment horizontal="right" vertical="center"/>
    </xf>
    <xf numFmtId="179" fontId="11" fillId="0" borderId="2" xfId="4" applyNumberFormat="1" applyFont="1" applyFill="1" applyBorder="1" applyAlignment="1">
      <alignment horizontal="right" vertical="center" shrinkToFit="1"/>
    </xf>
    <xf numFmtId="179" fontId="11" fillId="0" borderId="2" xfId="4" applyNumberFormat="1" applyFont="1" applyFill="1" applyBorder="1" applyAlignment="1">
      <alignment horizontal="center" vertical="center" shrinkToFit="1"/>
    </xf>
    <xf numFmtId="49" fontId="11" fillId="0" borderId="2" xfId="4" applyNumberFormat="1" applyFont="1" applyFill="1" applyBorder="1" applyAlignment="1">
      <alignment horizontal="center" vertical="center"/>
    </xf>
    <xf numFmtId="0" fontId="11" fillId="0" borderId="2" xfId="4" applyNumberFormat="1" applyFont="1" applyFill="1" applyBorder="1" applyAlignment="1">
      <alignment horizontal="center" vertical="center" shrinkToFit="1"/>
    </xf>
    <xf numFmtId="179" fontId="11" fillId="0" borderId="2" xfId="4" applyNumberFormat="1" applyFont="1" applyFill="1" applyBorder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 shrinkToFit="1"/>
    </xf>
    <xf numFmtId="179" fontId="11" fillId="0" borderId="2" xfId="4" applyNumberFormat="1" applyFont="1" applyFill="1" applyBorder="1" applyAlignment="1">
      <alignment horizontal="right" vertical="center" wrapText="1"/>
    </xf>
    <xf numFmtId="1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 shrinkToFit="1"/>
    </xf>
    <xf numFmtId="0" fontId="11" fillId="0" borderId="2" xfId="4" applyNumberFormat="1" applyFont="1" applyFill="1" applyBorder="1" applyAlignment="1">
      <alignment horizontal="center" vertical="center" wrapText="1" shrinkToFit="1"/>
    </xf>
    <xf numFmtId="179" fontId="11" fillId="0" borderId="2" xfId="4" quotePrefix="1" applyNumberFormat="1" applyFont="1" applyFill="1" applyBorder="1" applyAlignment="1">
      <alignment horizontal="center" vertical="center"/>
    </xf>
    <xf numFmtId="179" fontId="11" fillId="0" borderId="2" xfId="4" applyNumberFormat="1" applyFont="1" applyFill="1" applyBorder="1" applyAlignment="1">
      <alignment horizontal="center" vertical="center" wrapText="1" shrinkToFit="1"/>
    </xf>
    <xf numFmtId="185" fontId="11" fillId="0" borderId="2" xfId="4" quotePrefix="1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 wrapText="1"/>
    </xf>
    <xf numFmtId="179" fontId="11" fillId="0" borderId="14" xfId="4" applyNumberFormat="1" applyFont="1" applyFill="1" applyBorder="1" applyAlignment="1">
      <alignment horizontal="center" vertical="center" wrapText="1"/>
    </xf>
    <xf numFmtId="179" fontId="12" fillId="0" borderId="47" xfId="6" applyNumberFormat="1" applyFont="1" applyBorder="1" applyAlignment="1">
      <alignment horizontal="right" vertical="center"/>
    </xf>
    <xf numFmtId="179" fontId="12" fillId="0" borderId="48" xfId="6" applyNumberFormat="1" applyFont="1" applyBorder="1" applyAlignment="1">
      <alignment horizontal="center" vertical="center"/>
    </xf>
    <xf numFmtId="186" fontId="12" fillId="0" borderId="49" xfId="6" applyNumberFormat="1" applyFont="1" applyBorder="1" applyAlignment="1">
      <alignment horizontal="right" vertical="center"/>
    </xf>
    <xf numFmtId="179" fontId="12" fillId="0" borderId="50" xfId="6" applyNumberFormat="1" applyFont="1" applyBorder="1" applyAlignment="1">
      <alignment horizontal="right" vertical="center"/>
    </xf>
    <xf numFmtId="179" fontId="12" fillId="0" borderId="29" xfId="6" applyNumberFormat="1" applyFont="1" applyBorder="1" applyAlignment="1">
      <alignment horizontal="center" vertical="center"/>
    </xf>
    <xf numFmtId="186" fontId="12" fillId="0" borderId="51" xfId="6" applyNumberFormat="1" applyFont="1" applyBorder="1" applyAlignment="1">
      <alignment horizontal="right" vertical="center"/>
    </xf>
    <xf numFmtId="179" fontId="12" fillId="0" borderId="45" xfId="6" applyNumberFormat="1" applyFont="1" applyBorder="1" applyAlignment="1">
      <alignment horizontal="right" vertical="center"/>
    </xf>
    <xf numFmtId="179" fontId="12" fillId="0" borderId="26" xfId="6" applyNumberFormat="1" applyFont="1" applyBorder="1" applyAlignment="1">
      <alignment horizontal="center" vertical="center"/>
    </xf>
    <xf numFmtId="186" fontId="12" fillId="0" borderId="46" xfId="6" applyNumberFormat="1" applyFont="1" applyBorder="1" applyAlignment="1">
      <alignment horizontal="right" vertical="center"/>
    </xf>
    <xf numFmtId="186" fontId="12" fillId="0" borderId="15" xfId="6" applyNumberFormat="1" applyFont="1" applyBorder="1" applyAlignment="1">
      <alignment horizontal="right" vertical="center"/>
    </xf>
    <xf numFmtId="186" fontId="12" fillId="0" borderId="30" xfId="6" applyNumberFormat="1" applyFont="1" applyBorder="1" applyAlignment="1">
      <alignment horizontal="right" vertical="center"/>
    </xf>
    <xf numFmtId="186" fontId="12" fillId="0" borderId="33" xfId="6" applyNumberFormat="1" applyFont="1" applyBorder="1" applyAlignment="1">
      <alignment horizontal="right" vertical="center"/>
    </xf>
    <xf numFmtId="179" fontId="23" fillId="0" borderId="0" xfId="6" applyNumberFormat="1" applyFont="1" applyAlignment="1">
      <alignment horizontal="centerContinuous" vertical="center"/>
    </xf>
    <xf numFmtId="179" fontId="23" fillId="0" borderId="0" xfId="6" applyNumberFormat="1" applyFont="1" applyBorder="1" applyAlignment="1">
      <alignment horizontal="centerContinuous" vertical="center"/>
    </xf>
    <xf numFmtId="179" fontId="15" fillId="0" borderId="0" xfId="6" applyNumberFormat="1" applyFont="1" applyAlignment="1">
      <alignment horizontal="center" vertical="center"/>
    </xf>
    <xf numFmtId="179" fontId="12" fillId="0" borderId="13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 wrapText="1"/>
    </xf>
    <xf numFmtId="179" fontId="12" fillId="0" borderId="18" xfId="6" applyNumberFormat="1" applyFont="1" applyBorder="1" applyAlignment="1">
      <alignment horizontal="center" vertical="center"/>
    </xf>
    <xf numFmtId="179" fontId="15" fillId="0" borderId="38" xfId="6" applyNumberFormat="1" applyFont="1" applyBorder="1" applyAlignment="1">
      <alignment horizontal="center" vertical="center"/>
    </xf>
    <xf numFmtId="179" fontId="15" fillId="0" borderId="0" xfId="6" applyNumberFormat="1" applyFont="1" applyBorder="1" applyAlignment="1">
      <alignment horizontal="center"/>
    </xf>
    <xf numFmtId="0" fontId="23" fillId="0" borderId="0" xfId="7" applyFont="1" applyBorder="1" applyAlignment="1">
      <alignment horizontal="centerContinuous" vertical="center"/>
    </xf>
    <xf numFmtId="179" fontId="12" fillId="6" borderId="45" xfId="6" applyNumberFormat="1" applyFont="1" applyFill="1" applyBorder="1" applyAlignment="1">
      <alignment horizontal="center" vertical="center" wrapText="1"/>
    </xf>
    <xf numFmtId="179" fontId="12" fillId="6" borderId="26" xfId="6" applyNumberFormat="1" applyFont="1" applyFill="1" applyBorder="1" applyAlignment="1">
      <alignment horizontal="center" vertical="center" wrapText="1"/>
    </xf>
    <xf numFmtId="179" fontId="12" fillId="6" borderId="46" xfId="6" applyNumberFormat="1" applyFont="1" applyFill="1" applyBorder="1" applyAlignment="1">
      <alignment horizontal="center" vertical="center" wrapText="1"/>
    </xf>
    <xf numFmtId="179" fontId="12" fillId="6" borderId="33" xfId="6" applyNumberFormat="1" applyFont="1" applyFill="1" applyBorder="1" applyAlignment="1">
      <alignment horizontal="center" vertical="center" wrapText="1"/>
    </xf>
    <xf numFmtId="179" fontId="12" fillId="0" borderId="52" xfId="6" applyNumberFormat="1" applyFont="1" applyBorder="1" applyAlignment="1">
      <alignment horizontal="right" vertical="center"/>
    </xf>
    <xf numFmtId="179" fontId="12" fillId="0" borderId="53" xfId="6" applyNumberFormat="1" applyFont="1" applyBorder="1" applyAlignment="1">
      <alignment horizontal="center" vertical="center"/>
    </xf>
    <xf numFmtId="186" fontId="12" fillId="0" borderId="54" xfId="6" applyNumberFormat="1" applyFont="1" applyBorder="1" applyAlignment="1">
      <alignment horizontal="right" vertical="center"/>
    </xf>
    <xf numFmtId="179" fontId="12" fillId="6" borderId="52" xfId="7" applyNumberFormat="1" applyFont="1" applyFill="1" applyBorder="1" applyAlignment="1" applyProtection="1">
      <alignment horizontal="centerContinuous" vertical="center" wrapText="1"/>
    </xf>
    <xf numFmtId="179" fontId="12" fillId="6" borderId="53" xfId="7" applyNumberFormat="1" applyFont="1" applyFill="1" applyBorder="1" applyAlignment="1" applyProtection="1">
      <alignment horizontal="centerContinuous" vertical="center" wrapText="1"/>
    </xf>
    <xf numFmtId="179" fontId="12" fillId="6" borderId="42" xfId="7" applyNumberFormat="1" applyFont="1" applyFill="1" applyBorder="1" applyAlignment="1" applyProtection="1">
      <alignment horizontal="centerContinuous" vertical="center" wrapText="1"/>
    </xf>
    <xf numFmtId="179" fontId="12" fillId="6" borderId="50" xfId="7" applyNumberFormat="1" applyFont="1" applyFill="1" applyBorder="1" applyAlignment="1" applyProtection="1">
      <alignment horizontal="centerContinuous" vertical="center" wrapText="1"/>
    </xf>
    <xf numFmtId="179" fontId="12" fillId="6" borderId="29" xfId="7" applyNumberFormat="1" applyFont="1" applyFill="1" applyBorder="1" applyAlignment="1" applyProtection="1">
      <alignment horizontal="centerContinuous" vertical="center" wrapText="1"/>
    </xf>
    <xf numFmtId="179" fontId="12" fillId="6" borderId="51" xfId="6" applyNumberFormat="1" applyFont="1" applyFill="1" applyBorder="1" applyAlignment="1">
      <alignment horizontal="centerContinuous" vertical="center" wrapText="1"/>
    </xf>
    <xf numFmtId="179" fontId="15" fillId="0" borderId="0" xfId="6" applyNumberFormat="1" applyFont="1" applyBorder="1" applyAlignment="1">
      <alignment horizontal="right"/>
    </xf>
    <xf numFmtId="179" fontId="12" fillId="6" borderId="30" xfId="6" applyNumberFormat="1" applyFont="1" applyFill="1" applyBorder="1" applyAlignment="1">
      <alignment horizontal="centerContinuous" vertical="center" wrapText="1"/>
    </xf>
    <xf numFmtId="0" fontId="14" fillId="4" borderId="43" xfId="7" applyFont="1" applyFill="1" applyBorder="1" applyAlignment="1">
      <alignment horizontal="centerContinuous" vertical="center"/>
    </xf>
    <xf numFmtId="179" fontId="14" fillId="4" borderId="43" xfId="7" applyNumberFormat="1" applyFont="1" applyFill="1" applyBorder="1" applyAlignment="1">
      <alignment horizontal="centerContinuous" vertical="center"/>
    </xf>
    <xf numFmtId="0" fontId="12" fillId="0" borderId="17" xfId="7" applyFont="1" applyBorder="1" applyAlignment="1">
      <alignment horizontal="center" vertical="center" wrapText="1"/>
    </xf>
    <xf numFmtId="0" fontId="12" fillId="0" borderId="19" xfId="7" applyFont="1" applyBorder="1" applyAlignment="1">
      <alignment horizontal="center" vertical="center"/>
    </xf>
    <xf numFmtId="0" fontId="12" fillId="0" borderId="18" xfId="7" applyFont="1" applyBorder="1" applyAlignment="1">
      <alignment horizontal="center" vertical="center" wrapText="1"/>
    </xf>
    <xf numFmtId="0" fontId="12" fillId="0" borderId="20" xfId="7" applyFont="1" applyBorder="1" applyAlignment="1">
      <alignment horizontal="center" vertical="center"/>
    </xf>
    <xf numFmtId="0" fontId="12" fillId="0" borderId="13" xfId="7" applyFont="1" applyBorder="1" applyAlignment="1">
      <alignment horizontal="center" vertical="center" wrapText="1"/>
    </xf>
    <xf numFmtId="0" fontId="12" fillId="0" borderId="44" xfId="7" applyFont="1" applyBorder="1" applyAlignment="1">
      <alignment horizontal="center" vertical="center"/>
    </xf>
    <xf numFmtId="0" fontId="14" fillId="4" borderId="45" xfId="7" applyFont="1" applyFill="1" applyBorder="1" applyAlignment="1">
      <alignment horizontal="center" vertical="center" wrapText="1"/>
    </xf>
    <xf numFmtId="0" fontId="14" fillId="4" borderId="26" xfId="7" applyFont="1" applyFill="1" applyBorder="1" applyAlignment="1">
      <alignment horizontal="center" vertical="center" wrapText="1"/>
    </xf>
    <xf numFmtId="179" fontId="14" fillId="4" borderId="46" xfId="7" applyNumberFormat="1" applyFont="1" applyFill="1" applyBorder="1" applyAlignment="1">
      <alignment horizontal="center" vertical="center" wrapText="1"/>
    </xf>
    <xf numFmtId="178" fontId="12" fillId="0" borderId="47" xfId="7" applyNumberFormat="1" applyFont="1" applyBorder="1" applyAlignment="1">
      <alignment horizontal="right" vertical="center"/>
    </xf>
    <xf numFmtId="178" fontId="12" fillId="0" borderId="50" xfId="7" applyNumberFormat="1" applyFont="1" applyBorder="1" applyAlignment="1">
      <alignment horizontal="right" vertical="center"/>
    </xf>
    <xf numFmtId="178" fontId="12" fillId="0" borderId="45" xfId="7" applyNumberFormat="1" applyFont="1" applyBorder="1" applyAlignment="1">
      <alignment horizontal="right" vertical="center"/>
    </xf>
    <xf numFmtId="0" fontId="11" fillId="0" borderId="14" xfId="4" applyFont="1" applyFill="1" applyBorder="1" applyAlignment="1">
      <alignment horizontal="center" vertical="center" wrapText="1" shrinkToFit="1"/>
    </xf>
    <xf numFmtId="0" fontId="11" fillId="0" borderId="14" xfId="4" applyFont="1" applyFill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/>
    </xf>
    <xf numFmtId="179" fontId="11" fillId="0" borderId="56" xfId="4" applyNumberFormat="1" applyFont="1" applyFill="1" applyBorder="1" applyAlignment="1">
      <alignment horizontal="center" vertical="center"/>
    </xf>
    <xf numFmtId="179" fontId="11" fillId="0" borderId="56" xfId="4" applyNumberFormat="1" applyFont="1" applyFill="1" applyBorder="1" applyAlignment="1">
      <alignment horizontal="right" vertical="center"/>
    </xf>
    <xf numFmtId="179" fontId="11" fillId="0" borderId="56" xfId="0" applyNumberFormat="1" applyFont="1" applyFill="1" applyBorder="1" applyAlignment="1">
      <alignment vertical="center"/>
    </xf>
    <xf numFmtId="179" fontId="11" fillId="0" borderId="56" xfId="4" applyNumberFormat="1" applyFont="1" applyFill="1" applyBorder="1" applyAlignment="1">
      <alignment horizontal="center" vertical="center" shrinkToFit="1"/>
    </xf>
    <xf numFmtId="179" fontId="11" fillId="0" borderId="56" xfId="4" applyNumberFormat="1" applyFont="1" applyFill="1" applyBorder="1" applyAlignment="1">
      <alignment horizontal="center" vertical="center" wrapText="1"/>
    </xf>
    <xf numFmtId="179" fontId="11" fillId="0" borderId="56" xfId="0" applyNumberFormat="1" applyFont="1" applyFill="1" applyBorder="1" applyAlignment="1">
      <alignment horizontal="center" vertical="center" wrapText="1"/>
    </xf>
    <xf numFmtId="0" fontId="11" fillId="0" borderId="56" xfId="5" applyNumberFormat="1" applyFont="1" applyFill="1" applyBorder="1" applyAlignment="1" applyProtection="1">
      <alignment horizontal="center" vertical="center" wrapText="1"/>
      <protection locked="0"/>
    </xf>
    <xf numFmtId="0" fontId="11" fillId="0" borderId="57" xfId="0" quotePrefix="1" applyFont="1" applyFill="1" applyBorder="1" applyAlignment="1">
      <alignment horizontal="center" vertical="center" wrapText="1"/>
    </xf>
    <xf numFmtId="0" fontId="11" fillId="0" borderId="58" xfId="0" applyNumberFormat="1" applyFont="1" applyBorder="1" applyAlignment="1" applyProtection="1">
      <alignment horizontal="centerContinuous" vertical="center" wrapText="1"/>
    </xf>
    <xf numFmtId="0" fontId="21" fillId="0" borderId="59" xfId="0" applyNumberFormat="1" applyFont="1" applyBorder="1" applyAlignment="1" applyProtection="1">
      <alignment horizontal="centerContinuous" vertical="center" wrapText="1"/>
    </xf>
    <xf numFmtId="187" fontId="11" fillId="0" borderId="59" xfId="5" applyNumberFormat="1" applyFont="1" applyFill="1" applyBorder="1" applyAlignment="1" applyProtection="1">
      <alignment horizontal="right" vertical="center"/>
    </xf>
    <xf numFmtId="0" fontId="11" fillId="0" borderId="59" xfId="5" applyNumberFormat="1" applyFont="1" applyFill="1" applyBorder="1" applyAlignment="1" applyProtection="1">
      <alignment horizontal="center" vertical="center" wrapText="1"/>
    </xf>
    <xf numFmtId="0" fontId="11" fillId="0" borderId="60" xfId="5" applyNumberFormat="1" applyFont="1" applyFill="1" applyBorder="1" applyAlignment="1" applyProtection="1">
      <alignment horizontal="center" vertical="center" wrapText="1"/>
    </xf>
    <xf numFmtId="49" fontId="11" fillId="0" borderId="14" xfId="4" applyNumberFormat="1" applyFont="1" applyFill="1" applyBorder="1" applyAlignment="1">
      <alignment horizontal="center" vertical="center"/>
    </xf>
    <xf numFmtId="0" fontId="11" fillId="0" borderId="14" xfId="4" applyFont="1" applyFill="1" applyBorder="1" applyAlignment="1">
      <alignment horizontal="center" vertical="center" shrinkToFit="1"/>
    </xf>
    <xf numFmtId="0" fontId="11" fillId="0" borderId="44" xfId="0" applyFont="1" applyFill="1" applyBorder="1" applyAlignment="1">
      <alignment horizontal="center" vertical="center"/>
    </xf>
    <xf numFmtId="0" fontId="11" fillId="0" borderId="14" xfId="4" applyNumberFormat="1" applyFont="1" applyFill="1" applyBorder="1" applyAlignment="1">
      <alignment horizontal="center" vertical="center" shrinkToFit="1"/>
    </xf>
    <xf numFmtId="0" fontId="11" fillId="0" borderId="18" xfId="0" applyNumberFormat="1" applyFont="1" applyBorder="1" applyAlignment="1" applyProtection="1">
      <alignment horizontal="centerContinuous" vertical="center" wrapText="1"/>
    </xf>
    <xf numFmtId="179" fontId="11" fillId="0" borderId="14" xfId="4" applyNumberFormat="1" applyFont="1" applyFill="1" applyBorder="1" applyAlignment="1">
      <alignment horizontal="center" vertical="center" wrapText="1" shrinkToFit="1"/>
    </xf>
    <xf numFmtId="187" fontId="11" fillId="0" borderId="14" xfId="4" applyNumberFormat="1" applyFont="1" applyFill="1" applyBorder="1" applyAlignment="1">
      <alignment horizontal="right" vertical="center"/>
    </xf>
    <xf numFmtId="187" fontId="11" fillId="0" borderId="14" xfId="4" applyNumberFormat="1" applyFont="1" applyFill="1" applyBorder="1" applyAlignment="1">
      <alignment horizontal="right" vertical="center" shrinkToFit="1"/>
    </xf>
    <xf numFmtId="0" fontId="12" fillId="0" borderId="0" xfId="5" applyFont="1" applyFill="1" applyBorder="1" applyAlignment="1" applyProtection="1">
      <alignment horizontal="center" vertical="center"/>
    </xf>
    <xf numFmtId="187" fontId="12" fillId="0" borderId="0" xfId="5" applyNumberFormat="1" applyFont="1" applyFill="1" applyAlignment="1">
      <alignment horizontal="center" vertical="center"/>
    </xf>
    <xf numFmtId="41" fontId="11" fillId="0" borderId="0" xfId="5" applyNumberFormat="1" applyFont="1" applyFill="1" applyBorder="1" applyAlignment="1" applyProtection="1">
      <alignment horizontal="center" vertical="center" wrapText="1"/>
    </xf>
    <xf numFmtId="41" fontId="11" fillId="0" borderId="0" xfId="5" applyNumberFormat="1" applyFont="1" applyFill="1" applyAlignment="1">
      <alignment vertical="center"/>
    </xf>
    <xf numFmtId="0" fontId="11" fillId="0" borderId="13" xfId="0" applyFont="1" applyFill="1" applyBorder="1" applyAlignment="1">
      <alignment horizontal="center" vertical="center"/>
    </xf>
    <xf numFmtId="41" fontId="11" fillId="0" borderId="14" xfId="4" applyNumberFormat="1" applyFont="1" applyFill="1" applyBorder="1" applyAlignment="1">
      <alignment horizontal="right" vertical="center"/>
    </xf>
    <xf numFmtId="41" fontId="11" fillId="0" borderId="14" xfId="4" applyNumberFormat="1" applyFont="1" applyFill="1" applyBorder="1" applyAlignment="1">
      <alignment horizontal="right" vertical="center" shrinkToFit="1"/>
    </xf>
    <xf numFmtId="179" fontId="12" fillId="0" borderId="49" xfId="7" applyNumberFormat="1" applyFont="1" applyBorder="1" applyAlignment="1">
      <alignment horizontal="right" vertical="center"/>
    </xf>
    <xf numFmtId="179" fontId="12" fillId="0" borderId="51" xfId="7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41" fontId="0" fillId="7" borderId="2" xfId="0" applyNumberFormat="1" applyFill="1" applyBorder="1" applyAlignment="1">
      <alignment horizontal="center" vertical="center"/>
    </xf>
    <xf numFmtId="41" fontId="0" fillId="7" borderId="19" xfId="0" applyNumberFormat="1" applyFill="1" applyBorder="1" applyAlignment="1">
      <alignment horizontal="center" vertical="center"/>
    </xf>
    <xf numFmtId="41" fontId="0" fillId="0" borderId="2" xfId="0" applyNumberFormat="1" applyBorder="1" applyAlignment="1">
      <alignment horizontal="center" vertical="center"/>
    </xf>
    <xf numFmtId="41" fontId="0" fillId="0" borderId="19" xfId="0" applyNumberFormat="1" applyBorder="1" applyAlignment="1">
      <alignment horizontal="center" vertical="center"/>
    </xf>
    <xf numFmtId="43" fontId="0" fillId="0" borderId="19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44" xfId="21" applyFont="1" applyBorder="1" applyAlignment="1">
      <alignment horizontal="center" vertical="center"/>
    </xf>
    <xf numFmtId="0" fontId="0" fillId="8" borderId="62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29" fillId="0" borderId="0" xfId="7" applyFont="1" applyAlignment="1">
      <alignment vertical="center"/>
    </xf>
    <xf numFmtId="0" fontId="30" fillId="0" borderId="70" xfId="7" applyFont="1" applyBorder="1" applyAlignment="1">
      <alignment horizontal="distributed"/>
    </xf>
    <xf numFmtId="0" fontId="30" fillId="0" borderId="0" xfId="7" applyFont="1" applyBorder="1" applyAlignment="1">
      <alignment horizontal="distributed"/>
    </xf>
    <xf numFmtId="0" fontId="30" fillId="0" borderId="0" xfId="7" applyFont="1" applyBorder="1"/>
    <xf numFmtId="0" fontId="29" fillId="0" borderId="0" xfId="7" applyFont="1"/>
    <xf numFmtId="0" fontId="31" fillId="0" borderId="0" xfId="7" applyFont="1" applyAlignment="1">
      <alignment horizontal="center" vertical="center"/>
    </xf>
    <xf numFmtId="0" fontId="31" fillId="0" borderId="0" xfId="7" applyFont="1"/>
    <xf numFmtId="0" fontId="30" fillId="0" borderId="77" xfId="7" applyFont="1" applyBorder="1" applyAlignment="1">
      <alignment horizontal="distributed" vertical="center" wrapText="1"/>
    </xf>
    <xf numFmtId="0" fontId="30" fillId="0" borderId="78" xfId="7" applyFont="1" applyBorder="1" applyAlignment="1">
      <alignment horizontal="distributed" vertical="center" wrapText="1"/>
    </xf>
    <xf numFmtId="0" fontId="30" fillId="0" borderId="79" xfId="7" applyFont="1" applyBorder="1" applyAlignment="1">
      <alignment horizontal="distributed" vertical="center" wrapText="1"/>
    </xf>
    <xf numFmtId="0" fontId="31" fillId="0" borderId="0" xfId="7" applyFont="1" applyAlignment="1">
      <alignment horizontal="center" vertical="center" wrapText="1"/>
    </xf>
    <xf numFmtId="0" fontId="33" fillId="0" borderId="81" xfId="7" applyFont="1" applyBorder="1" applyAlignment="1">
      <alignment horizontal="distributed" vertical="center" wrapText="1"/>
    </xf>
    <xf numFmtId="178" fontId="33" fillId="0" borderId="48" xfId="7" applyNumberFormat="1" applyFont="1" applyBorder="1" applyAlignment="1">
      <alignment horizontal="right" vertical="center"/>
    </xf>
    <xf numFmtId="179" fontId="33" fillId="0" borderId="48" xfId="7" applyNumberFormat="1" applyFont="1" applyBorder="1" applyAlignment="1">
      <alignment horizontal="center" vertical="center"/>
    </xf>
    <xf numFmtId="178" fontId="33" fillId="0" borderId="15" xfId="7" applyNumberFormat="1" applyFont="1" applyBorder="1" applyAlignment="1">
      <alignment horizontal="right" vertical="center"/>
    </xf>
    <xf numFmtId="178" fontId="33" fillId="0" borderId="47" xfId="7" applyNumberFormat="1" applyFont="1" applyBorder="1" applyAlignment="1">
      <alignment horizontal="right" vertical="center"/>
    </xf>
    <xf numFmtId="0" fontId="33" fillId="0" borderId="48" xfId="7" applyFont="1" applyBorder="1" applyAlignment="1">
      <alignment horizontal="distributed" vertical="center" wrapText="1"/>
    </xf>
    <xf numFmtId="0" fontId="33" fillId="0" borderId="71" xfId="7" applyFont="1" applyBorder="1" applyAlignment="1">
      <alignment horizontal="center" vertical="center"/>
    </xf>
    <xf numFmtId="0" fontId="34" fillId="0" borderId="0" xfId="7" applyFont="1" applyAlignment="1">
      <alignment horizontal="center" vertical="center"/>
    </xf>
    <xf numFmtId="179" fontId="34" fillId="0" borderId="0" xfId="7" applyNumberFormat="1" applyFont="1" applyAlignment="1">
      <alignment horizontal="center" vertical="center"/>
    </xf>
    <xf numFmtId="0" fontId="34" fillId="0" borderId="0" xfId="7" applyFont="1"/>
    <xf numFmtId="0" fontId="30" fillId="0" borderId="66" xfId="7" applyFont="1" applyBorder="1" applyAlignment="1">
      <alignment horizontal="distributed" vertical="center" wrapText="1"/>
    </xf>
    <xf numFmtId="178" fontId="30" fillId="0" borderId="48" xfId="7" applyNumberFormat="1" applyFont="1" applyBorder="1" applyAlignment="1">
      <alignment horizontal="right" vertical="center"/>
    </xf>
    <xf numFmtId="0" fontId="30" fillId="0" borderId="29" xfId="7" applyFont="1" applyBorder="1" applyAlignment="1">
      <alignment horizontal="distributed" vertical="center" wrapText="1"/>
    </xf>
    <xf numFmtId="178" fontId="30" fillId="0" borderId="15" xfId="7" applyNumberFormat="1" applyFont="1" applyBorder="1" applyAlignment="1">
      <alignment horizontal="right" vertical="center"/>
    </xf>
    <xf numFmtId="178" fontId="30" fillId="0" borderId="47" xfId="7" applyNumberFormat="1" applyFont="1" applyBorder="1" applyAlignment="1">
      <alignment horizontal="right" vertical="center"/>
    </xf>
    <xf numFmtId="0" fontId="30" fillId="0" borderId="71" xfId="7" applyFont="1" applyBorder="1" applyAlignment="1">
      <alignment horizontal="center" vertical="center"/>
    </xf>
    <xf numFmtId="179" fontId="31" fillId="0" borderId="0" xfId="7" applyNumberFormat="1" applyFont="1" applyAlignment="1">
      <alignment horizontal="center" vertical="center"/>
    </xf>
    <xf numFmtId="0" fontId="33" fillId="0" borderId="19" xfId="7" applyFont="1" applyBorder="1" applyAlignment="1">
      <alignment horizontal="distributed" vertical="center" wrapText="1"/>
    </xf>
    <xf numFmtId="178" fontId="33" fillId="0" borderId="29" xfId="7" applyNumberFormat="1" applyFont="1" applyBorder="1" applyAlignment="1">
      <alignment horizontal="right" vertical="center"/>
    </xf>
    <xf numFmtId="179" fontId="33" fillId="0" borderId="29" xfId="7" applyNumberFormat="1" applyFont="1" applyBorder="1" applyAlignment="1">
      <alignment horizontal="center" vertical="center"/>
    </xf>
    <xf numFmtId="178" fontId="33" fillId="0" borderId="30" xfId="7" applyNumberFormat="1" applyFont="1" applyBorder="1" applyAlignment="1">
      <alignment horizontal="right" vertical="center"/>
    </xf>
    <xf numFmtId="178" fontId="33" fillId="0" borderId="50" xfId="7" applyNumberFormat="1" applyFont="1" applyBorder="1" applyAlignment="1">
      <alignment horizontal="right" vertical="center"/>
    </xf>
    <xf numFmtId="0" fontId="33" fillId="0" borderId="29" xfId="7" applyFont="1" applyBorder="1" applyAlignment="1">
      <alignment horizontal="distributed" vertical="center" wrapText="1"/>
    </xf>
    <xf numFmtId="0" fontId="33" fillId="0" borderId="84" xfId="7" applyFont="1" applyBorder="1" applyAlignment="1">
      <alignment horizontal="center" vertical="center"/>
    </xf>
    <xf numFmtId="0" fontId="30" fillId="0" borderId="19" xfId="7" applyFont="1" applyBorder="1" applyAlignment="1">
      <alignment horizontal="distributed" vertical="center" wrapText="1"/>
    </xf>
    <xf numFmtId="178" fontId="30" fillId="0" borderId="29" xfId="7" applyNumberFormat="1" applyFont="1" applyBorder="1" applyAlignment="1">
      <alignment horizontal="right" vertical="center"/>
    </xf>
    <xf numFmtId="178" fontId="30" fillId="0" borderId="30" xfId="7" applyNumberFormat="1" applyFont="1" applyBorder="1" applyAlignment="1">
      <alignment horizontal="right" vertical="center"/>
    </xf>
    <xf numFmtId="178" fontId="30" fillId="0" borderId="50" xfId="7" applyNumberFormat="1" applyFont="1" applyBorder="1" applyAlignment="1">
      <alignment horizontal="right" vertical="center"/>
    </xf>
    <xf numFmtId="0" fontId="30" fillId="0" borderId="84" xfId="7" applyFont="1" applyBorder="1" applyAlignment="1">
      <alignment horizontal="center" vertical="center"/>
    </xf>
    <xf numFmtId="179" fontId="30" fillId="0" borderId="29" xfId="7" applyNumberFormat="1" applyFont="1" applyBorder="1" applyAlignment="1">
      <alignment horizontal="center" vertical="center"/>
    </xf>
    <xf numFmtId="178" fontId="34" fillId="0" borderId="0" xfId="7" applyNumberFormat="1" applyFont="1" applyAlignment="1">
      <alignment horizontal="center" vertical="center"/>
    </xf>
    <xf numFmtId="178" fontId="31" fillId="0" borderId="0" xfId="7" applyNumberFormat="1" applyFont="1" applyAlignment="1">
      <alignment horizontal="center" vertical="center"/>
    </xf>
    <xf numFmtId="178" fontId="30" fillId="0" borderId="85" xfId="7" applyNumberFormat="1" applyFont="1" applyBorder="1" applyAlignment="1">
      <alignment horizontal="right" vertical="center"/>
    </xf>
    <xf numFmtId="179" fontId="30" fillId="0" borderId="85" xfId="7" applyNumberFormat="1" applyFont="1" applyBorder="1" applyAlignment="1">
      <alignment horizontal="center" vertical="center"/>
    </xf>
    <xf numFmtId="178" fontId="30" fillId="0" borderId="86" xfId="7" applyNumberFormat="1" applyFont="1" applyBorder="1" applyAlignment="1">
      <alignment horizontal="right" vertical="center"/>
    </xf>
    <xf numFmtId="178" fontId="30" fillId="0" borderId="87" xfId="7" applyNumberFormat="1" applyFont="1" applyBorder="1" applyAlignment="1">
      <alignment horizontal="right" vertical="center"/>
    </xf>
    <xf numFmtId="0" fontId="30" fillId="0" borderId="85" xfId="7" applyFont="1" applyBorder="1" applyAlignment="1">
      <alignment horizontal="distributed" vertical="center" wrapText="1"/>
    </xf>
    <xf numFmtId="0" fontId="30" fillId="0" borderId="88" xfId="7" applyFont="1" applyBorder="1" applyAlignment="1">
      <alignment horizontal="center" vertical="center"/>
    </xf>
    <xf numFmtId="179" fontId="33" fillId="0" borderId="85" xfId="7" applyNumberFormat="1" applyFont="1" applyBorder="1" applyAlignment="1">
      <alignment horizontal="center" vertical="center"/>
    </xf>
    <xf numFmtId="178" fontId="33" fillId="0" borderId="87" xfId="7" applyNumberFormat="1" applyFont="1" applyBorder="1" applyAlignment="1">
      <alignment horizontal="right" vertical="center"/>
    </xf>
    <xf numFmtId="0" fontId="33" fillId="0" borderId="85" xfId="7" applyFont="1" applyBorder="1" applyAlignment="1">
      <alignment horizontal="distributed" vertical="center" wrapText="1"/>
    </xf>
    <xf numFmtId="178" fontId="33" fillId="0" borderId="86" xfId="7" applyNumberFormat="1" applyFont="1" applyBorder="1" applyAlignment="1">
      <alignment horizontal="right" vertical="center"/>
    </xf>
    <xf numFmtId="0" fontId="33" fillId="0" borderId="88" xfId="7" applyFont="1" applyBorder="1" applyAlignment="1">
      <alignment horizontal="center" vertical="center"/>
    </xf>
    <xf numFmtId="0" fontId="30" fillId="0" borderId="90" xfId="7" applyFont="1" applyBorder="1" applyAlignment="1">
      <alignment horizontal="distributed" vertical="center" wrapText="1"/>
    </xf>
    <xf numFmtId="178" fontId="30" fillId="0" borderId="91" xfId="7" applyNumberFormat="1" applyFont="1" applyBorder="1" applyAlignment="1">
      <alignment horizontal="right" vertical="center"/>
    </xf>
    <xf numFmtId="179" fontId="30" fillId="0" borderId="91" xfId="7" applyNumberFormat="1" applyFont="1" applyBorder="1" applyAlignment="1">
      <alignment horizontal="center" vertical="center"/>
    </xf>
    <xf numFmtId="178" fontId="30" fillId="0" borderId="92" xfId="7" applyNumberFormat="1" applyFont="1" applyBorder="1" applyAlignment="1">
      <alignment horizontal="right" vertical="center"/>
    </xf>
    <xf numFmtId="178" fontId="30" fillId="0" borderId="93" xfId="7" applyNumberFormat="1" applyFont="1" applyBorder="1" applyAlignment="1">
      <alignment horizontal="right" vertical="center"/>
    </xf>
    <xf numFmtId="0" fontId="30" fillId="0" borderId="91" xfId="7" applyFont="1" applyBorder="1" applyAlignment="1">
      <alignment horizontal="distributed" vertical="center" wrapText="1"/>
    </xf>
    <xf numFmtId="0" fontId="30" fillId="0" borderId="94" xfId="7" applyFont="1" applyBorder="1" applyAlignment="1">
      <alignment horizontal="center" vertical="center"/>
    </xf>
    <xf numFmtId="0" fontId="29" fillId="0" borderId="0" xfId="7" applyFont="1" applyBorder="1" applyAlignment="1">
      <alignment horizontal="distributed"/>
    </xf>
    <xf numFmtId="0" fontId="29" fillId="0" borderId="0" xfId="7" applyFont="1" applyBorder="1"/>
    <xf numFmtId="0" fontId="30" fillId="0" borderId="57" xfId="7" applyFont="1" applyBorder="1" applyAlignment="1">
      <alignment horizontal="distributed" vertical="center" wrapText="1"/>
    </xf>
    <xf numFmtId="0" fontId="29" fillId="0" borderId="71" xfId="7" applyFont="1" applyBorder="1" applyAlignment="1" applyProtection="1">
      <alignment vertical="center"/>
    </xf>
    <xf numFmtId="0" fontId="29" fillId="0" borderId="71" xfId="7" applyFont="1" applyBorder="1"/>
    <xf numFmtId="178" fontId="33" fillId="0" borderId="85" xfId="7" applyNumberFormat="1" applyFont="1" applyBorder="1" applyAlignment="1">
      <alignment horizontal="right" vertical="center"/>
    </xf>
    <xf numFmtId="178" fontId="33" fillId="0" borderId="100" xfId="7" applyNumberFormat="1" applyFont="1" applyBorder="1" applyAlignment="1">
      <alignment horizontal="right" vertical="center"/>
    </xf>
    <xf numFmtId="0" fontId="28" fillId="0" borderId="69" xfId="7" applyFont="1" applyBorder="1" applyAlignment="1">
      <alignment vertical="center"/>
    </xf>
    <xf numFmtId="178" fontId="33" fillId="0" borderId="101" xfId="7" applyNumberFormat="1" applyFont="1" applyBorder="1" applyAlignment="1">
      <alignment horizontal="right" vertical="center"/>
    </xf>
    <xf numFmtId="0" fontId="33" fillId="0" borderId="102" xfId="7" applyFont="1" applyBorder="1" applyAlignment="1">
      <alignment horizontal="distributed" vertical="center" wrapText="1"/>
    </xf>
    <xf numFmtId="178" fontId="30" fillId="0" borderId="35" xfId="7" applyNumberFormat="1" applyFont="1" applyBorder="1" applyAlignment="1">
      <alignment horizontal="right" vertical="center"/>
    </xf>
    <xf numFmtId="178" fontId="33" fillId="0" borderId="35" xfId="7" applyNumberFormat="1" applyFont="1" applyBorder="1" applyAlignment="1">
      <alignment horizontal="right" vertical="center"/>
    </xf>
    <xf numFmtId="178" fontId="30" fillId="0" borderId="103" xfId="7" applyNumberFormat="1" applyFont="1" applyBorder="1" applyAlignment="1">
      <alignment horizontal="right" vertical="center"/>
    </xf>
    <xf numFmtId="0" fontId="33" fillId="0" borderId="104" xfId="7" applyFont="1" applyBorder="1" applyAlignment="1">
      <alignment horizontal="center" vertical="center"/>
    </xf>
    <xf numFmtId="0" fontId="30" fillId="0" borderId="96" xfId="7" applyFont="1" applyBorder="1" applyAlignment="1">
      <alignment horizontal="center" vertical="center"/>
    </xf>
    <xf numFmtId="0" fontId="33" fillId="0" borderId="74" xfId="7" applyFont="1" applyBorder="1" applyAlignment="1">
      <alignment horizontal="center" vertical="center"/>
    </xf>
    <xf numFmtId="0" fontId="30" fillId="0" borderId="74" xfId="7" applyFont="1" applyBorder="1" applyAlignment="1">
      <alignment horizontal="center" vertical="center"/>
    </xf>
    <xf numFmtId="0" fontId="30" fillId="0" borderId="105" xfId="7" applyFont="1" applyBorder="1" applyAlignment="1">
      <alignment horizontal="center" vertical="center"/>
    </xf>
    <xf numFmtId="0" fontId="33" fillId="0" borderId="105" xfId="7" applyFont="1" applyBorder="1" applyAlignment="1">
      <alignment horizontal="center" vertical="center"/>
    </xf>
    <xf numFmtId="0" fontId="30" fillId="0" borderId="106" xfId="7" applyFont="1" applyBorder="1" applyAlignment="1">
      <alignment horizontal="center" vertical="center"/>
    </xf>
    <xf numFmtId="0" fontId="30" fillId="0" borderId="107" xfId="7" applyFont="1" applyBorder="1"/>
    <xf numFmtId="0" fontId="33" fillId="0" borderId="96" xfId="7" applyFont="1" applyBorder="1" applyAlignment="1">
      <alignment horizontal="center" vertical="center"/>
    </xf>
    <xf numFmtId="184" fontId="35" fillId="0" borderId="0" xfId="5" applyNumberFormat="1" applyFont="1" applyFill="1" applyAlignment="1">
      <alignment horizontal="right" vertical="center"/>
    </xf>
    <xf numFmtId="0" fontId="35" fillId="0" borderId="0" xfId="5" applyFont="1" applyFill="1" applyAlignment="1">
      <alignment horizontal="right" vertical="center"/>
    </xf>
    <xf numFmtId="0" fontId="11" fillId="0" borderId="17" xfId="0" applyFont="1" applyFill="1" applyBorder="1" applyAlignment="1">
      <alignment horizontal="center" vertical="center"/>
    </xf>
    <xf numFmtId="41" fontId="11" fillId="0" borderId="2" xfId="4" applyNumberFormat="1" applyFont="1" applyFill="1" applyBorder="1" applyAlignment="1">
      <alignment horizontal="right" vertical="center"/>
    </xf>
    <xf numFmtId="41" fontId="27" fillId="0" borderId="2" xfId="4" applyNumberFormat="1" applyFont="1" applyFill="1" applyBorder="1" applyAlignment="1">
      <alignment horizontal="right" vertical="center" shrinkToFit="1"/>
    </xf>
    <xf numFmtId="0" fontId="11" fillId="0" borderId="51" xfId="0" applyFont="1" applyFill="1" applyBorder="1" applyAlignment="1">
      <alignment horizontal="center" vertical="center"/>
    </xf>
    <xf numFmtId="0" fontId="19" fillId="8" borderId="2" xfId="5" applyNumberFormat="1" applyFont="1" applyFill="1" applyBorder="1" applyAlignment="1" applyProtection="1">
      <alignment horizontal="center" vertical="center" shrinkToFit="1"/>
    </xf>
    <xf numFmtId="0" fontId="0" fillId="8" borderId="43" xfId="0" applyFill="1" applyBorder="1" applyAlignment="1">
      <alignment horizontal="center" vertical="center"/>
    </xf>
    <xf numFmtId="0" fontId="0" fillId="8" borderId="61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14" fillId="4" borderId="61" xfId="7" applyFont="1" applyFill="1" applyBorder="1" applyAlignment="1">
      <alignment horizontal="center" vertical="center" wrapText="1"/>
    </xf>
    <xf numFmtId="0" fontId="14" fillId="4" borderId="18" xfId="7" applyFont="1" applyFill="1" applyBorder="1" applyAlignment="1">
      <alignment horizontal="center" vertical="center" wrapText="1"/>
    </xf>
    <xf numFmtId="0" fontId="14" fillId="4" borderId="62" xfId="7" applyFont="1" applyFill="1" applyBorder="1" applyAlignment="1">
      <alignment horizontal="center" vertical="center" wrapText="1"/>
    </xf>
    <xf numFmtId="0" fontId="14" fillId="4" borderId="20" xfId="7" applyFont="1" applyFill="1" applyBorder="1" applyAlignment="1">
      <alignment horizontal="center" vertical="center" wrapText="1"/>
    </xf>
    <xf numFmtId="0" fontId="33" fillId="0" borderId="80" xfId="7" applyFont="1" applyBorder="1" applyAlignment="1">
      <alignment horizontal="center" vertical="center" wrapText="1"/>
    </xf>
    <xf numFmtId="0" fontId="33" fillId="0" borderId="82" xfId="7" applyFont="1" applyBorder="1" applyAlignment="1">
      <alignment horizontal="center" vertical="center" wrapText="1"/>
    </xf>
    <xf numFmtId="179" fontId="12" fillId="6" borderId="3" xfId="6" applyNumberFormat="1" applyFont="1" applyFill="1" applyBorder="1" applyAlignment="1">
      <alignment horizontal="center" vertical="center" wrapText="1"/>
    </xf>
    <xf numFmtId="179" fontId="12" fillId="6" borderId="8" xfId="6" applyNumberFormat="1" applyFont="1" applyFill="1" applyBorder="1" applyAlignment="1">
      <alignment horizontal="center" vertical="center" wrapText="1"/>
    </xf>
    <xf numFmtId="179" fontId="12" fillId="6" borderId="63" xfId="6" applyNumberFormat="1" applyFont="1" applyFill="1" applyBorder="1" applyAlignment="1">
      <alignment horizontal="center" vertical="center" wrapText="1"/>
    </xf>
    <xf numFmtId="179" fontId="12" fillId="6" borderId="43" xfId="6" applyNumberFormat="1" applyFont="1" applyFill="1" applyBorder="1" applyAlignment="1">
      <alignment horizontal="center" vertical="center"/>
    </xf>
    <xf numFmtId="179" fontId="12" fillId="6" borderId="2" xfId="6" applyNumberFormat="1" applyFont="1" applyFill="1" applyBorder="1" applyAlignment="1">
      <alignment horizontal="center" vertical="center"/>
    </xf>
    <xf numFmtId="179" fontId="12" fillId="6" borderId="52" xfId="6" applyNumberFormat="1" applyFont="1" applyFill="1" applyBorder="1" applyAlignment="1">
      <alignment horizontal="center" vertical="center"/>
    </xf>
    <xf numFmtId="179" fontId="12" fillId="6" borderId="53" xfId="6" applyNumberFormat="1" applyFont="1" applyFill="1" applyBorder="1" applyAlignment="1">
      <alignment horizontal="center" vertical="center"/>
    </xf>
    <xf numFmtId="179" fontId="12" fillId="6" borderId="54" xfId="6" applyNumberFormat="1" applyFont="1" applyFill="1" applyBorder="1" applyAlignment="1">
      <alignment horizontal="center" vertical="center"/>
    </xf>
    <xf numFmtId="179" fontId="12" fillId="6" borderId="50" xfId="6" applyNumberFormat="1" applyFont="1" applyFill="1" applyBorder="1" applyAlignment="1">
      <alignment horizontal="center" vertical="center"/>
    </xf>
    <xf numFmtId="179" fontId="12" fillId="6" borderId="29" xfId="6" applyNumberFormat="1" applyFont="1" applyFill="1" applyBorder="1" applyAlignment="1">
      <alignment horizontal="center" vertical="center"/>
    </xf>
    <xf numFmtId="179" fontId="12" fillId="6" borderId="51" xfId="6" applyNumberFormat="1" applyFont="1" applyFill="1" applyBorder="1" applyAlignment="1">
      <alignment horizontal="center" vertical="center"/>
    </xf>
    <xf numFmtId="179" fontId="12" fillId="6" borderId="50" xfId="7" applyNumberFormat="1" applyFont="1" applyFill="1" applyBorder="1" applyAlignment="1" applyProtection="1">
      <alignment horizontal="center" vertical="center" wrapText="1"/>
    </xf>
    <xf numFmtId="179" fontId="12" fillId="6" borderId="29" xfId="7" applyNumberFormat="1" applyFont="1" applyFill="1" applyBorder="1" applyAlignment="1" applyProtection="1">
      <alignment horizontal="center" vertical="center" wrapText="1"/>
    </xf>
    <xf numFmtId="179" fontId="12" fillId="6" borderId="51" xfId="7" applyNumberFormat="1" applyFont="1" applyFill="1" applyBorder="1" applyAlignment="1" applyProtection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3" fillId="0" borderId="89" xfId="7" applyFont="1" applyBorder="1" applyAlignment="1">
      <alignment horizontal="center" vertical="center" wrapText="1"/>
    </xf>
    <xf numFmtId="0" fontId="30" fillId="0" borderId="98" xfId="7" applyFont="1" applyBorder="1" applyAlignment="1">
      <alignment horizontal="center" vertical="center" wrapText="1"/>
    </xf>
    <xf numFmtId="0" fontId="30" fillId="0" borderId="71" xfId="7" applyFont="1" applyBorder="1" applyAlignment="1">
      <alignment horizontal="center" vertical="center" wrapText="1"/>
    </xf>
    <xf numFmtId="0" fontId="30" fillId="0" borderId="99" xfId="7" applyFont="1" applyBorder="1" applyAlignment="1">
      <alignment horizontal="center" vertical="center" wrapText="1"/>
    </xf>
    <xf numFmtId="0" fontId="32" fillId="0" borderId="0" xfId="7" applyFont="1" applyAlignment="1">
      <alignment horizontal="center" vertical="center"/>
    </xf>
    <xf numFmtId="0" fontId="30" fillId="0" borderId="95" xfId="7" applyFont="1" applyBorder="1" applyAlignment="1">
      <alignment horizontal="center" vertical="center" wrapText="1"/>
    </xf>
    <xf numFmtId="0" fontId="30" fillId="0" borderId="96" xfId="7" applyFont="1" applyBorder="1" applyAlignment="1">
      <alignment horizontal="center" vertical="center" wrapText="1"/>
    </xf>
    <xf numFmtId="0" fontId="30" fillId="0" borderId="97" xfId="7" applyFont="1" applyBorder="1" applyAlignment="1">
      <alignment horizontal="center" vertical="center" wrapText="1"/>
    </xf>
    <xf numFmtId="0" fontId="30" fillId="0" borderId="72" xfId="7" applyFont="1" applyBorder="1" applyAlignment="1">
      <alignment horizontal="center" vertical="center" wrapText="1"/>
    </xf>
    <xf numFmtId="0" fontId="30" fillId="0" borderId="23" xfId="7" applyFont="1" applyBorder="1" applyAlignment="1">
      <alignment horizontal="center" vertical="center" wrapText="1"/>
    </xf>
    <xf numFmtId="0" fontId="30" fillId="0" borderId="70" xfId="7" applyFont="1" applyBorder="1" applyAlignment="1">
      <alignment horizontal="center" vertical="center" wrapText="1"/>
    </xf>
    <xf numFmtId="0" fontId="30" fillId="0" borderId="12" xfId="7" applyFont="1" applyBorder="1" applyAlignment="1">
      <alignment horizontal="center" vertical="center" wrapText="1"/>
    </xf>
    <xf numFmtId="0" fontId="30" fillId="0" borderId="75" xfId="7" applyFont="1" applyBorder="1" applyAlignment="1">
      <alignment horizontal="center" vertical="center" wrapText="1"/>
    </xf>
    <xf numFmtId="0" fontId="30" fillId="0" borderId="7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/>
    </xf>
    <xf numFmtId="0" fontId="30" fillId="0" borderId="23" xfId="7" applyFont="1" applyBorder="1" applyAlignment="1">
      <alignment horizontal="center" vertical="center"/>
    </xf>
    <xf numFmtId="0" fontId="30" fillId="0" borderId="48" xfId="7" applyFont="1" applyBorder="1" applyAlignment="1">
      <alignment horizontal="center" vertical="center"/>
    </xf>
    <xf numFmtId="0" fontId="30" fillId="0" borderId="15" xfId="7" applyFont="1" applyBorder="1" applyAlignment="1">
      <alignment horizontal="center" vertical="center"/>
    </xf>
    <xf numFmtId="0" fontId="30" fillId="0" borderId="22" xfId="7" applyFont="1" applyBorder="1" applyAlignment="1">
      <alignment horizontal="center" vertical="center"/>
    </xf>
    <xf numFmtId="0" fontId="30" fillId="0" borderId="73" xfId="7" applyFont="1" applyBorder="1" applyAlignment="1">
      <alignment horizontal="center" vertical="center"/>
    </xf>
    <xf numFmtId="0" fontId="29" fillId="0" borderId="0" xfId="7" applyFont="1" applyBorder="1" applyAlignment="1" applyProtection="1">
      <alignment horizontal="right" vertical="center"/>
    </xf>
    <xf numFmtId="0" fontId="29" fillId="0" borderId="71" xfId="7" applyFont="1" applyBorder="1" applyAlignment="1" applyProtection="1">
      <alignment horizontal="right" vertical="center"/>
    </xf>
    <xf numFmtId="0" fontId="28" fillId="0" borderId="67" xfId="7" applyFont="1" applyBorder="1" applyAlignment="1">
      <alignment horizontal="center" vertical="center"/>
    </xf>
    <xf numFmtId="0" fontId="28" fillId="0" borderId="68" xfId="7" applyFont="1" applyBorder="1" applyAlignment="1">
      <alignment horizontal="center" vertical="center"/>
    </xf>
    <xf numFmtId="0" fontId="28" fillId="0" borderId="69" xfId="7" applyFont="1" applyBorder="1" applyAlignment="1">
      <alignment horizontal="center" vertical="center"/>
    </xf>
    <xf numFmtId="0" fontId="33" fillId="0" borderId="70" xfId="7" applyFont="1" applyBorder="1" applyAlignment="1">
      <alignment horizontal="center" vertical="center" wrapText="1"/>
    </xf>
    <xf numFmtId="179" fontId="14" fillId="3" borderId="3" xfId="7" applyNumberFormat="1" applyFont="1" applyFill="1" applyBorder="1" applyAlignment="1">
      <alignment horizontal="center" vertical="center" wrapText="1"/>
    </xf>
    <xf numFmtId="179" fontId="14" fillId="3" borderId="63" xfId="7" applyNumberFormat="1" applyFont="1" applyFill="1" applyBorder="1" applyAlignment="1">
      <alignment horizontal="center" vertical="center" wrapText="1"/>
    </xf>
    <xf numFmtId="179" fontId="14" fillId="3" borderId="7" xfId="7" applyNumberFormat="1" applyFont="1" applyFill="1" applyBorder="1" applyAlignment="1">
      <alignment horizontal="center" vertical="center" wrapText="1"/>
    </xf>
    <xf numFmtId="179" fontId="14" fillId="3" borderId="64" xfId="7" applyNumberFormat="1" applyFont="1" applyFill="1" applyBorder="1" applyAlignment="1">
      <alignment horizontal="center" vertical="center" wrapText="1"/>
    </xf>
    <xf numFmtId="0" fontId="19" fillId="4" borderId="7" xfId="5" applyNumberFormat="1" applyFont="1" applyFill="1" applyBorder="1" applyAlignment="1" applyProtection="1">
      <alignment horizontal="center" vertical="center" wrapText="1"/>
    </xf>
    <xf numFmtId="0" fontId="19" fillId="4" borderId="64" xfId="5" applyNumberFormat="1" applyFont="1" applyFill="1" applyBorder="1" applyAlignment="1" applyProtection="1">
      <alignment horizontal="center" vertical="center" wrapText="1"/>
    </xf>
    <xf numFmtId="0" fontId="19" fillId="4" borderId="3" xfId="5" applyNumberFormat="1" applyFont="1" applyFill="1" applyBorder="1" applyAlignment="1" applyProtection="1">
      <alignment horizontal="center" vertical="center" wrapText="1"/>
    </xf>
    <xf numFmtId="0" fontId="19" fillId="4" borderId="63" xfId="5" applyNumberFormat="1" applyFont="1" applyFill="1" applyBorder="1" applyAlignment="1" applyProtection="1">
      <alignment horizontal="center" vertical="center" wrapText="1"/>
    </xf>
    <xf numFmtId="49" fontId="19" fillId="4" borderId="4" xfId="5" applyNumberFormat="1" applyFont="1" applyFill="1" applyBorder="1" applyAlignment="1" applyProtection="1">
      <alignment horizontal="center" vertical="center" wrapText="1"/>
    </xf>
    <xf numFmtId="49" fontId="19" fillId="4" borderId="65" xfId="5" applyNumberFormat="1" applyFont="1" applyFill="1" applyBorder="1" applyAlignment="1" applyProtection="1">
      <alignment horizontal="center" vertical="center" wrapText="1"/>
    </xf>
    <xf numFmtId="0" fontId="19" fillId="4" borderId="4" xfId="5" applyNumberFormat="1" applyFont="1" applyFill="1" applyBorder="1" applyAlignment="1" applyProtection="1">
      <alignment horizontal="center" vertical="center" wrapText="1"/>
    </xf>
    <xf numFmtId="0" fontId="19" fillId="4" borderId="65" xfId="5" applyNumberFormat="1" applyFont="1" applyFill="1" applyBorder="1" applyAlignment="1" applyProtection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shrinkToFit="1"/>
    </xf>
    <xf numFmtId="179" fontId="11" fillId="0" borderId="2" xfId="0" applyNumberFormat="1" applyFont="1" applyFill="1" applyBorder="1" applyAlignment="1">
      <alignment vertical="center" shrinkToFit="1"/>
    </xf>
    <xf numFmtId="49" fontId="21" fillId="0" borderId="2" xfId="0" applyNumberFormat="1" applyFont="1" applyFill="1" applyBorder="1" applyAlignment="1">
      <alignment horizontal="center" vertical="center" shrinkToFit="1"/>
    </xf>
    <xf numFmtId="49" fontId="11" fillId="0" borderId="2" xfId="0" quotePrefix="1" applyNumberFormat="1" applyFont="1" applyFill="1" applyBorder="1" applyAlignment="1">
      <alignment horizontal="center" vertical="center" shrinkToFit="1"/>
    </xf>
    <xf numFmtId="179" fontId="11" fillId="0" borderId="2" xfId="0" applyNumberFormat="1" applyFont="1" applyFill="1" applyBorder="1" applyAlignment="1">
      <alignment vertical="center" wrapText="1" shrinkToFit="1"/>
    </xf>
    <xf numFmtId="0" fontId="12" fillId="0" borderId="0" xfId="5" applyFont="1" applyFill="1" applyAlignment="1">
      <alignment shrinkToFit="1"/>
    </xf>
    <xf numFmtId="0" fontId="11" fillId="0" borderId="2" xfId="0" quotePrefix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88" fontId="11" fillId="0" borderId="2" xfId="0" quotePrefix="1" applyNumberFormat="1" applyFont="1" applyFill="1" applyBorder="1" applyAlignment="1">
      <alignment horizontal="center" vertical="center" wrapText="1"/>
    </xf>
    <xf numFmtId="179" fontId="11" fillId="0" borderId="2" xfId="4" quotePrefix="1" applyNumberFormat="1" applyFont="1" applyFill="1" applyBorder="1" applyAlignment="1">
      <alignment horizontal="center" vertical="center" wrapText="1" shrinkToFit="1"/>
    </xf>
    <xf numFmtId="0" fontId="19" fillId="8" borderId="2" xfId="5" applyNumberFormat="1" applyFont="1" applyFill="1" applyBorder="1" applyAlignment="1" applyProtection="1">
      <alignment horizontal="centerContinuous" vertical="center" wrapText="1"/>
    </xf>
    <xf numFmtId="49" fontId="19" fillId="8" borderId="2" xfId="5" applyNumberFormat="1" applyFont="1" applyFill="1" applyBorder="1" applyAlignment="1" applyProtection="1">
      <alignment horizontal="center" vertical="center" wrapText="1"/>
    </xf>
    <xf numFmtId="0" fontId="19" fillId="8" borderId="2" xfId="5" applyNumberFormat="1" applyFont="1" applyFill="1" applyBorder="1" applyAlignment="1" applyProtection="1">
      <alignment horizontal="center" vertical="center" wrapText="1"/>
    </xf>
    <xf numFmtId="0" fontId="19" fillId="8" borderId="2" xfId="5" applyNumberFormat="1" applyFont="1" applyFill="1" applyBorder="1" applyAlignment="1" applyProtection="1">
      <alignment horizontal="centerContinuous" vertical="center" shrinkToFit="1"/>
    </xf>
    <xf numFmtId="0" fontId="19" fillId="8" borderId="2" xfId="5" applyNumberFormat="1" applyFont="1" applyFill="1" applyBorder="1" applyAlignment="1" applyProtection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185" fontId="36" fillId="0" borderId="2" xfId="4" applyNumberFormat="1" applyFont="1" applyFill="1" applyBorder="1" applyAlignment="1">
      <alignment horizontal="center" vertical="center" wrapText="1"/>
    </xf>
    <xf numFmtId="179" fontId="36" fillId="0" borderId="2" xfId="4" applyNumberFormat="1" applyFont="1" applyFill="1" applyBorder="1" applyAlignment="1">
      <alignment horizontal="center" vertical="center" wrapText="1"/>
    </xf>
    <xf numFmtId="41" fontId="36" fillId="0" borderId="2" xfId="4" applyNumberFormat="1" applyFont="1" applyFill="1" applyBorder="1" applyAlignment="1">
      <alignment horizontal="right" vertical="center" wrapText="1"/>
    </xf>
    <xf numFmtId="49" fontId="36" fillId="0" borderId="2" xfId="4" applyNumberFormat="1" applyFont="1" applyFill="1" applyBorder="1" applyAlignment="1">
      <alignment horizontal="center" vertical="center" wrapText="1"/>
    </xf>
    <xf numFmtId="0" fontId="36" fillId="0" borderId="2" xfId="5" applyFont="1" applyFill="1" applyBorder="1" applyAlignment="1">
      <alignment horizontal="center" vertical="center" wrapText="1"/>
    </xf>
    <xf numFmtId="0" fontId="36" fillId="0" borderId="2" xfId="5" applyFont="1" applyFill="1" applyBorder="1" applyAlignment="1">
      <alignment vertical="center" wrapText="1"/>
    </xf>
    <xf numFmtId="0" fontId="36" fillId="0" borderId="2" xfId="0" quotePrefix="1" applyFont="1" applyFill="1" applyBorder="1" applyAlignment="1">
      <alignment horizontal="center" vertical="center" wrapText="1"/>
    </xf>
  </cellXfs>
  <cellStyles count="22">
    <cellStyle name="Comma" xfId="8"/>
    <cellStyle name="Comma [0]_ SG&amp;A Bridge " xfId="9"/>
    <cellStyle name="Comma_ SG&amp;A Bridge " xfId="10"/>
    <cellStyle name="Currency" xfId="11"/>
    <cellStyle name="Currency [0]_ SG&amp;A Bridge " xfId="12"/>
    <cellStyle name="Currency_ SG&amp;A Bridge " xfId="13"/>
    <cellStyle name="Date" xfId="14"/>
    <cellStyle name="Fixed" xfId="15"/>
    <cellStyle name="Heading1" xfId="16"/>
    <cellStyle name="Heading2" xfId="17"/>
    <cellStyle name="Normal_ SG&amp;A Bridge " xfId="18"/>
    <cellStyle name="Percent" xfId="19"/>
    <cellStyle name="Total" xfId="20"/>
    <cellStyle name="뷭?_BOOKSHIP" xfId="1"/>
    <cellStyle name="쉼표 [0]" xfId="21" builtinId="6"/>
    <cellStyle name="콤마 [0]_1202" xfId="2"/>
    <cellStyle name="콤마_1202" xfId="3"/>
    <cellStyle name="표준" xfId="0" builtinId="0"/>
    <cellStyle name="표준 2" xfId="4"/>
    <cellStyle name="표준_용지조서(1)" xfId="5"/>
    <cellStyle name="표준_전체집계표 (10)" xfId="6"/>
    <cellStyle name="표준_집계표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9"/>
  <sheetViews>
    <sheetView view="pageBreakPreview" zoomScaleNormal="130" zoomScaleSheetLayoutView="100" workbookViewId="0">
      <selection activeCell="D15" sqref="D15"/>
    </sheetView>
  </sheetViews>
  <sheetFormatPr defaultRowHeight="13.5"/>
  <cols>
    <col min="1" max="1" width="21.109375" style="329" customWidth="1"/>
    <col min="2" max="3" width="17.109375" style="329" customWidth="1"/>
    <col min="4" max="4" width="17.109375" style="328" customWidth="1"/>
    <col min="5" max="16384" width="8.88671875" style="329"/>
  </cols>
  <sheetData>
    <row r="1" spans="1:4" ht="24.95" customHeight="1">
      <c r="A1" s="439" t="s">
        <v>339</v>
      </c>
      <c r="B1" s="438" t="s">
        <v>343</v>
      </c>
      <c r="C1" s="438"/>
      <c r="D1" s="345"/>
    </row>
    <row r="2" spans="1:4" s="328" customFormat="1" ht="24.95" customHeight="1">
      <c r="A2" s="440"/>
      <c r="B2" s="346" t="s">
        <v>335</v>
      </c>
      <c r="C2" s="346" t="s">
        <v>336</v>
      </c>
      <c r="D2" s="347" t="s">
        <v>338</v>
      </c>
    </row>
    <row r="3" spans="1:4" s="328" customFormat="1" ht="24.95" customHeight="1">
      <c r="A3" s="342" t="s">
        <v>340</v>
      </c>
      <c r="B3" s="343"/>
      <c r="C3" s="343"/>
      <c r="D3" s="344">
        <v>9645</v>
      </c>
    </row>
    <row r="4" spans="1:4" s="328" customFormat="1" ht="24.95" customHeight="1">
      <c r="A4" s="333" t="s">
        <v>341</v>
      </c>
      <c r="B4" s="334" t="e">
        <f>#REF!</f>
        <v>#REF!</v>
      </c>
      <c r="C4" s="334" t="e">
        <f>#REF!</f>
        <v>#REF!</v>
      </c>
      <c r="D4" s="335" t="e">
        <f>B4+C4</f>
        <v>#REF!</v>
      </c>
    </row>
    <row r="5" spans="1:4" s="328" customFormat="1" ht="24.95" customHeight="1">
      <c r="A5" s="332" t="s">
        <v>342</v>
      </c>
      <c r="B5" s="336"/>
      <c r="C5" s="336"/>
      <c r="D5" s="337" t="e">
        <f>D4-D3</f>
        <v>#REF!</v>
      </c>
    </row>
    <row r="6" spans="1:4" s="328" customFormat="1" ht="24.95" customHeight="1">
      <c r="A6" s="332" t="s">
        <v>344</v>
      </c>
      <c r="B6" s="330"/>
      <c r="C6" s="330"/>
      <c r="D6" s="338" t="e">
        <f>D4/D3*100-100</f>
        <v>#REF!</v>
      </c>
    </row>
    <row r="7" spans="1:4" s="328" customFormat="1" ht="24.95" customHeight="1">
      <c r="A7" s="332"/>
      <c r="B7" s="330"/>
      <c r="C7" s="330"/>
      <c r="D7" s="331"/>
    </row>
    <row r="8" spans="1:4" ht="24.95" customHeight="1">
      <c r="A8" s="332"/>
      <c r="B8" s="330"/>
      <c r="C8" s="330"/>
      <c r="D8" s="331"/>
    </row>
    <row r="9" spans="1:4" ht="24.95" customHeight="1">
      <c r="A9" s="339"/>
      <c r="B9" s="340"/>
      <c r="C9" s="340"/>
      <c r="D9" s="341"/>
    </row>
  </sheetData>
  <mergeCells count="2">
    <mergeCell ref="B1:C1"/>
    <mergeCell ref="A1:A2"/>
  </mergeCells>
  <phoneticPr fontId="11" type="noConversion"/>
  <printOptions horizontalCentered="1"/>
  <pageMargins left="0.70866141732283472" right="0.70866141732283472" top="0.94488188976377963" bottom="0.94488188976377963" header="0.59055118110236227" footer="0.59055118110236227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39"/>
  <sheetViews>
    <sheetView showGridLines="0" showZeros="0" view="pageBreakPreview" workbookViewId="0">
      <selection activeCell="A5" sqref="A5"/>
    </sheetView>
  </sheetViews>
  <sheetFormatPr defaultRowHeight="12"/>
  <cols>
    <col min="1" max="1" width="8.77734375" style="56" customWidth="1"/>
    <col min="2" max="2" width="5.109375" style="57" customWidth="1"/>
    <col min="3" max="3" width="1.77734375" style="57" customWidth="1"/>
    <col min="4" max="4" width="8.77734375" style="95" customWidth="1"/>
    <col min="5" max="5" width="5.21875" style="57" customWidth="1"/>
    <col min="6" max="6" width="1.77734375" style="57" customWidth="1"/>
    <col min="7" max="7" width="8.77734375" style="95" customWidth="1"/>
    <col min="8" max="8" width="5.21875" style="57" customWidth="1"/>
    <col min="9" max="9" width="1.77734375" style="57" customWidth="1"/>
    <col min="10" max="10" width="8.77734375" style="95" customWidth="1"/>
    <col min="11" max="11" width="5.109375" style="57" customWidth="1"/>
    <col min="12" max="12" width="1.77734375" style="57" customWidth="1"/>
    <col min="13" max="13" width="8.77734375" style="95" customWidth="1"/>
    <col min="14" max="14" width="9.44140625" style="57" customWidth="1"/>
    <col min="15" max="20" width="12.21875" style="57" hidden="1" customWidth="1"/>
    <col min="21" max="22" width="8.33203125" style="57" customWidth="1"/>
    <col min="23" max="16384" width="8.88671875" style="57"/>
  </cols>
  <sheetData>
    <row r="1" spans="1:24" s="55" customFormat="1" ht="30" customHeight="1">
      <c r="A1" s="265" t="s">
        <v>55</v>
      </c>
      <c r="B1" s="53"/>
      <c r="C1" s="53"/>
      <c r="D1" s="94"/>
      <c r="E1" s="54"/>
      <c r="F1" s="53"/>
      <c r="G1" s="96"/>
      <c r="H1" s="54"/>
      <c r="I1" s="53"/>
      <c r="J1" s="96"/>
      <c r="K1" s="53"/>
      <c r="L1" s="53"/>
      <c r="M1" s="96"/>
      <c r="N1" s="53"/>
    </row>
    <row r="2" spans="1:24" s="59" customFormat="1" ht="9.9499999999999993" customHeight="1">
      <c r="A2" s="56"/>
      <c r="B2" s="57"/>
      <c r="C2" s="57"/>
      <c r="D2" s="95"/>
      <c r="E2" s="57"/>
      <c r="F2" s="57"/>
      <c r="G2" s="95"/>
      <c r="H2" s="57"/>
      <c r="I2" s="57"/>
      <c r="J2" s="95"/>
      <c r="K2" s="57"/>
      <c r="L2" s="57"/>
      <c r="M2" s="95"/>
      <c r="N2" s="57"/>
    </row>
    <row r="3" spans="1:24" s="65" customFormat="1" ht="27.95" customHeight="1">
      <c r="A3" s="441" t="s">
        <v>107</v>
      </c>
      <c r="B3" s="281" t="s">
        <v>106</v>
      </c>
      <c r="C3" s="281"/>
      <c r="D3" s="282"/>
      <c r="E3" s="281" t="s">
        <v>80</v>
      </c>
      <c r="F3" s="281"/>
      <c r="G3" s="282"/>
      <c r="H3" s="281" t="s">
        <v>81</v>
      </c>
      <c r="I3" s="281"/>
      <c r="J3" s="282"/>
      <c r="K3" s="281" t="s">
        <v>82</v>
      </c>
      <c r="L3" s="281"/>
      <c r="M3" s="282"/>
      <c r="N3" s="443" t="s">
        <v>104</v>
      </c>
      <c r="O3" s="64"/>
      <c r="S3" s="64"/>
      <c r="T3" s="64"/>
      <c r="U3" s="64"/>
      <c r="V3" s="64"/>
    </row>
    <row r="4" spans="1:24" s="65" customFormat="1" ht="27.95" customHeight="1">
      <c r="A4" s="442"/>
      <c r="B4" s="289" t="s">
        <v>4</v>
      </c>
      <c r="C4" s="290" t="s">
        <v>5</v>
      </c>
      <c r="D4" s="291" t="s">
        <v>105</v>
      </c>
      <c r="E4" s="289" t="s">
        <v>4</v>
      </c>
      <c r="F4" s="290" t="s">
        <v>5</v>
      </c>
      <c r="G4" s="291" t="s">
        <v>105</v>
      </c>
      <c r="H4" s="289" t="s">
        <v>4</v>
      </c>
      <c r="I4" s="290" t="s">
        <v>5</v>
      </c>
      <c r="J4" s="291" t="s">
        <v>105</v>
      </c>
      <c r="K4" s="289" t="s">
        <v>4</v>
      </c>
      <c r="L4" s="290" t="s">
        <v>5</v>
      </c>
      <c r="M4" s="291" t="s">
        <v>105</v>
      </c>
      <c r="N4" s="444"/>
      <c r="P4" s="64"/>
      <c r="Q4" s="70" t="s">
        <v>50</v>
      </c>
      <c r="R4" s="70" t="s">
        <v>51</v>
      </c>
      <c r="S4" s="70" t="s">
        <v>52</v>
      </c>
      <c r="T4" s="70" t="s">
        <v>53</v>
      </c>
      <c r="U4" s="64"/>
      <c r="V4" s="64"/>
    </row>
    <row r="5" spans="1:24" s="65" customFormat="1" ht="24" customHeight="1" thickBot="1">
      <c r="A5" s="287" t="s">
        <v>3</v>
      </c>
      <c r="B5" s="292" t="e">
        <f>SUM(B6:B30)</f>
        <v>#REF!</v>
      </c>
      <c r="C5" s="173" t="s">
        <v>5</v>
      </c>
      <c r="D5" s="174" t="e">
        <f>SUM(D6:D30)</f>
        <v>#REF!</v>
      </c>
      <c r="E5" s="292" t="e">
        <f>SUM(E6:E30)</f>
        <v>#REF!</v>
      </c>
      <c r="F5" s="173" t="s">
        <v>5</v>
      </c>
      <c r="G5" s="174" t="e">
        <f>SUM(G6:G30)</f>
        <v>#REF!</v>
      </c>
      <c r="H5" s="292" t="e">
        <f>SUM(H6:H30)</f>
        <v>#REF!</v>
      </c>
      <c r="I5" s="173" t="s">
        <v>5</v>
      </c>
      <c r="J5" s="174" t="e">
        <f>SUM(J6:J30)</f>
        <v>#REF!</v>
      </c>
      <c r="K5" s="292" t="e">
        <f>SUM(K6:K30)</f>
        <v>#REF!</v>
      </c>
      <c r="L5" s="173" t="s">
        <v>5</v>
      </c>
      <c r="M5" s="174" t="e">
        <f>SUM(M6:M30)</f>
        <v>#REF!</v>
      </c>
      <c r="N5" s="288"/>
      <c r="O5" s="64" t="e">
        <f>IF(EXACT(Q5,T5),"맞음","틀림")</f>
        <v>#REF!</v>
      </c>
      <c r="P5" s="64" t="s">
        <v>4</v>
      </c>
      <c r="Q5" s="74" t="e">
        <f>SUM(B6:B30)</f>
        <v>#REF!</v>
      </c>
      <c r="R5" s="74" t="e">
        <f>SUM(H6:H30)</f>
        <v>#REF!</v>
      </c>
      <c r="S5" s="74" t="e">
        <f>SUM(K6:K30)</f>
        <v>#REF!</v>
      </c>
      <c r="T5" s="74" t="e">
        <f>K5+H5</f>
        <v>#REF!</v>
      </c>
      <c r="U5" s="74" t="e">
        <f>IF(D5=(G5+J5+M5),"ok","false")</f>
        <v>#REF!</v>
      </c>
      <c r="V5" s="64"/>
    </row>
    <row r="6" spans="1:24" s="65" customFormat="1" ht="24" customHeight="1" thickTop="1">
      <c r="A6" s="283" t="s">
        <v>7</v>
      </c>
      <c r="B6" s="293" t="e">
        <f>'전체집계표-구역별'!B7</f>
        <v>#REF!</v>
      </c>
      <c r="C6" s="76" t="s">
        <v>5</v>
      </c>
      <c r="D6" s="176" t="e">
        <f>'전체집계표-구역별'!D7</f>
        <v>#REF!</v>
      </c>
      <c r="E6" s="293" t="e">
        <f>'전체집계표-구역별'!B38</f>
        <v>#REF!</v>
      </c>
      <c r="F6" s="76" t="s">
        <v>5</v>
      </c>
      <c r="G6" s="176" t="e">
        <f>'전체집계표-구역별'!D38</f>
        <v>#REF!</v>
      </c>
      <c r="H6" s="293" t="e">
        <f>'전체집계표-구역별'!B69</f>
        <v>#REF!</v>
      </c>
      <c r="I6" s="76" t="s">
        <v>5</v>
      </c>
      <c r="J6" s="176" t="e">
        <f>'전체집계표-구역별'!D69</f>
        <v>#REF!</v>
      </c>
      <c r="K6" s="293" t="e">
        <f t="shared" ref="K6:K30" si="0">B6-E6-H6</f>
        <v>#REF!</v>
      </c>
      <c r="L6" s="76" t="s">
        <v>5</v>
      </c>
      <c r="M6" s="176" t="e">
        <f>'전체집계표-구역별'!D100</f>
        <v>#REF!</v>
      </c>
      <c r="N6" s="284"/>
      <c r="O6" s="64" t="e">
        <f>IF(EXACT(Q6,T6),"맞음","틀림")</f>
        <v>#REF!</v>
      </c>
      <c r="P6" s="64" t="s">
        <v>54</v>
      </c>
      <c r="Q6" s="74" t="e">
        <f>SUM(D6:D30)</f>
        <v>#REF!</v>
      </c>
      <c r="R6" s="74" t="e">
        <f>SUM(J6:J30)</f>
        <v>#REF!</v>
      </c>
      <c r="S6" s="74" t="e">
        <f>SUM(M6:M30)</f>
        <v>#REF!</v>
      </c>
      <c r="T6" s="74" t="e">
        <f>J5+M5</f>
        <v>#REF!</v>
      </c>
      <c r="U6" s="74" t="e">
        <f t="shared" ref="U6:U30" si="1">IF(D6=(G6+J6+M6),"ok","false")</f>
        <v>#REF!</v>
      </c>
      <c r="V6" s="64"/>
      <c r="W6" s="445" t="s">
        <v>3</v>
      </c>
      <c r="X6" s="359" t="s">
        <v>345</v>
      </c>
    </row>
    <row r="7" spans="1:24" s="65" customFormat="1" ht="24" customHeight="1">
      <c r="A7" s="283" t="s">
        <v>8</v>
      </c>
      <c r="B7" s="293" t="e">
        <f>'전체집계표-구역별'!B8</f>
        <v>#REF!</v>
      </c>
      <c r="C7" s="76" t="s">
        <v>5</v>
      </c>
      <c r="D7" s="176" t="e">
        <f>'전체집계표-구역별'!D8</f>
        <v>#REF!</v>
      </c>
      <c r="E7" s="293" t="e">
        <f>'전체집계표-구역별'!B39</f>
        <v>#REF!</v>
      </c>
      <c r="F7" s="76" t="s">
        <v>5</v>
      </c>
      <c r="G7" s="176" t="e">
        <f>'전체집계표-구역별'!D39</f>
        <v>#REF!</v>
      </c>
      <c r="H7" s="293" t="e">
        <f>'전체집계표-구역별'!B70</f>
        <v>#REF!</v>
      </c>
      <c r="I7" s="76" t="s">
        <v>5</v>
      </c>
      <c r="J7" s="176" t="e">
        <f>'전체집계표-구역별'!D70</f>
        <v>#REF!</v>
      </c>
      <c r="K7" s="293" t="e">
        <f t="shared" si="0"/>
        <v>#REF!</v>
      </c>
      <c r="L7" s="76" t="s">
        <v>5</v>
      </c>
      <c r="M7" s="176" t="e">
        <f>'전체집계표-구역별'!D101</f>
        <v>#REF!</v>
      </c>
      <c r="N7" s="284"/>
      <c r="Q7" s="64"/>
      <c r="S7" s="64"/>
      <c r="U7" s="74" t="e">
        <f t="shared" si="1"/>
        <v>#REF!</v>
      </c>
      <c r="V7" s="64"/>
      <c r="W7" s="446"/>
      <c r="X7" s="369" t="s">
        <v>346</v>
      </c>
    </row>
    <row r="8" spans="1:24" s="65" customFormat="1" ht="24" customHeight="1">
      <c r="A8" s="283" t="s">
        <v>9</v>
      </c>
      <c r="B8" s="293" t="e">
        <f>'전체집계표-구역별'!B9</f>
        <v>#REF!</v>
      </c>
      <c r="C8" s="76" t="s">
        <v>5</v>
      </c>
      <c r="D8" s="176" t="e">
        <f>'전체집계표-구역별'!D9</f>
        <v>#REF!</v>
      </c>
      <c r="E8" s="293" t="e">
        <f>'전체집계표-구역별'!B40</f>
        <v>#REF!</v>
      </c>
      <c r="F8" s="76" t="s">
        <v>5</v>
      </c>
      <c r="G8" s="176" t="e">
        <f>'전체집계표-구역별'!D40</f>
        <v>#REF!</v>
      </c>
      <c r="H8" s="293" t="e">
        <f>'전체집계표-구역별'!B71</f>
        <v>#REF!</v>
      </c>
      <c r="I8" s="76" t="s">
        <v>5</v>
      </c>
      <c r="J8" s="176" t="e">
        <f>'전체집계표-구역별'!D71</f>
        <v>#REF!</v>
      </c>
      <c r="K8" s="293" t="e">
        <f t="shared" si="0"/>
        <v>#REF!</v>
      </c>
      <c r="L8" s="76" t="s">
        <v>5</v>
      </c>
      <c r="M8" s="176" t="e">
        <f>'전체집계표-구역별'!D102</f>
        <v>#REF!</v>
      </c>
      <c r="N8" s="284"/>
      <c r="Q8" s="64"/>
      <c r="S8" s="64"/>
      <c r="U8" s="74" t="e">
        <f t="shared" si="1"/>
        <v>#REF!</v>
      </c>
      <c r="V8" s="64"/>
    </row>
    <row r="9" spans="1:24" s="65" customFormat="1" ht="24" customHeight="1">
      <c r="A9" s="283" t="s">
        <v>10</v>
      </c>
      <c r="B9" s="293" t="e">
        <f>'전체집계표-구역별'!B10</f>
        <v>#REF!</v>
      </c>
      <c r="C9" s="76" t="s">
        <v>5</v>
      </c>
      <c r="D9" s="176" t="e">
        <f>'전체집계표-구역별'!D10</f>
        <v>#REF!</v>
      </c>
      <c r="E9" s="293" t="e">
        <f>'전체집계표-구역별'!B41</f>
        <v>#REF!</v>
      </c>
      <c r="F9" s="76" t="s">
        <v>5</v>
      </c>
      <c r="G9" s="176" t="e">
        <f>'전체집계표-구역별'!D41</f>
        <v>#REF!</v>
      </c>
      <c r="H9" s="293" t="e">
        <f>'전체집계표-구역별'!B72</f>
        <v>#REF!</v>
      </c>
      <c r="I9" s="76" t="s">
        <v>5</v>
      </c>
      <c r="J9" s="176" t="e">
        <f>'전체집계표-구역별'!D72</f>
        <v>#REF!</v>
      </c>
      <c r="K9" s="293" t="e">
        <f t="shared" si="0"/>
        <v>#REF!</v>
      </c>
      <c r="L9" s="76" t="s">
        <v>5</v>
      </c>
      <c r="M9" s="176" t="e">
        <f>'전체집계표-구역별'!D103</f>
        <v>#REF!</v>
      </c>
      <c r="N9" s="284"/>
      <c r="O9" s="64"/>
      <c r="P9" s="64"/>
      <c r="Q9" s="64"/>
      <c r="R9" s="64"/>
      <c r="S9" s="64"/>
      <c r="T9" s="64"/>
      <c r="U9" s="74" t="e">
        <f t="shared" si="1"/>
        <v>#REF!</v>
      </c>
      <c r="V9" s="64"/>
    </row>
    <row r="10" spans="1:24" s="65" customFormat="1" ht="24" customHeight="1">
      <c r="A10" s="283" t="s">
        <v>11</v>
      </c>
      <c r="B10" s="293" t="e">
        <f>'전체집계표-구역별'!B11</f>
        <v>#REF!</v>
      </c>
      <c r="C10" s="76" t="s">
        <v>5</v>
      </c>
      <c r="D10" s="176" t="e">
        <f>'전체집계표-구역별'!D11</f>
        <v>#REF!</v>
      </c>
      <c r="E10" s="293" t="e">
        <f>'전체집계표-구역별'!B42</f>
        <v>#REF!</v>
      </c>
      <c r="F10" s="76" t="s">
        <v>5</v>
      </c>
      <c r="G10" s="176" t="e">
        <f>'전체집계표-구역별'!D42</f>
        <v>#REF!</v>
      </c>
      <c r="H10" s="293" t="e">
        <f>'전체집계표-구역별'!B73</f>
        <v>#REF!</v>
      </c>
      <c r="I10" s="76" t="s">
        <v>5</v>
      </c>
      <c r="J10" s="176" t="e">
        <f>'전체집계표-구역별'!D73</f>
        <v>#REF!</v>
      </c>
      <c r="K10" s="293" t="e">
        <f t="shared" si="0"/>
        <v>#REF!</v>
      </c>
      <c r="L10" s="76" t="s">
        <v>5</v>
      </c>
      <c r="M10" s="176" t="e">
        <f>'전체집계표-구역별'!D104</f>
        <v>#REF!</v>
      </c>
      <c r="N10" s="284"/>
      <c r="O10" s="64"/>
      <c r="P10" s="64"/>
      <c r="Q10" s="64"/>
      <c r="R10" s="64"/>
      <c r="S10" s="64"/>
      <c r="T10" s="64"/>
      <c r="U10" s="74" t="e">
        <f t="shared" si="1"/>
        <v>#REF!</v>
      </c>
      <c r="V10" s="64"/>
    </row>
    <row r="11" spans="1:24" s="65" customFormat="1" ht="24" customHeight="1">
      <c r="A11" s="283" t="s">
        <v>13</v>
      </c>
      <c r="B11" s="293" t="e">
        <f>'전체집계표-구역별'!B12</f>
        <v>#REF!</v>
      </c>
      <c r="C11" s="76" t="s">
        <v>5</v>
      </c>
      <c r="D11" s="176" t="e">
        <f>'전체집계표-구역별'!D12</f>
        <v>#REF!</v>
      </c>
      <c r="E11" s="293" t="e">
        <f>'전체집계표-구역별'!B43</f>
        <v>#REF!</v>
      </c>
      <c r="F11" s="76" t="s">
        <v>5</v>
      </c>
      <c r="G11" s="176" t="e">
        <f>'전체집계표-구역별'!D43</f>
        <v>#REF!</v>
      </c>
      <c r="H11" s="293" t="e">
        <f>'전체집계표-구역별'!B74</f>
        <v>#REF!</v>
      </c>
      <c r="I11" s="76" t="s">
        <v>5</v>
      </c>
      <c r="J11" s="176" t="e">
        <f>'전체집계표-구역별'!D74</f>
        <v>#REF!</v>
      </c>
      <c r="K11" s="293" t="e">
        <f t="shared" si="0"/>
        <v>#REF!</v>
      </c>
      <c r="L11" s="76" t="s">
        <v>5</v>
      </c>
      <c r="M11" s="176" t="e">
        <f>'전체집계표-구역별'!D105</f>
        <v>#REF!</v>
      </c>
      <c r="N11" s="284"/>
      <c r="O11" s="64"/>
      <c r="P11" s="64"/>
      <c r="Q11" s="64"/>
      <c r="R11" s="64"/>
      <c r="S11" s="64"/>
      <c r="T11" s="64"/>
      <c r="U11" s="74" t="e">
        <f t="shared" si="1"/>
        <v>#REF!</v>
      </c>
      <c r="V11" s="64"/>
    </row>
    <row r="12" spans="1:24" s="65" customFormat="1" ht="24" customHeight="1">
      <c r="A12" s="283" t="s">
        <v>12</v>
      </c>
      <c r="B12" s="293" t="e">
        <f>'전체집계표-구역별'!B13</f>
        <v>#REF!</v>
      </c>
      <c r="C12" s="76" t="s">
        <v>5</v>
      </c>
      <c r="D12" s="176" t="e">
        <f>'전체집계표-구역별'!D13</f>
        <v>#REF!</v>
      </c>
      <c r="E12" s="293" t="e">
        <f>'전체집계표-구역별'!B44</f>
        <v>#REF!</v>
      </c>
      <c r="F12" s="76" t="s">
        <v>5</v>
      </c>
      <c r="G12" s="176" t="e">
        <f>'전체집계표-구역별'!D44</f>
        <v>#REF!</v>
      </c>
      <c r="H12" s="293" t="e">
        <f>'전체집계표-구역별'!B75</f>
        <v>#REF!</v>
      </c>
      <c r="I12" s="76" t="s">
        <v>5</v>
      </c>
      <c r="J12" s="176" t="e">
        <f>'전체집계표-구역별'!D75</f>
        <v>#REF!</v>
      </c>
      <c r="K12" s="293" t="e">
        <f t="shared" si="0"/>
        <v>#REF!</v>
      </c>
      <c r="L12" s="76" t="s">
        <v>5</v>
      </c>
      <c r="M12" s="176" t="e">
        <f>'전체집계표-구역별'!D106</f>
        <v>#REF!</v>
      </c>
      <c r="N12" s="284"/>
      <c r="O12" s="64"/>
      <c r="P12" s="64"/>
      <c r="Q12" s="64"/>
      <c r="R12" s="64"/>
      <c r="S12" s="64"/>
      <c r="T12" s="64"/>
      <c r="U12" s="74" t="e">
        <f t="shared" si="1"/>
        <v>#REF!</v>
      </c>
      <c r="V12" s="64"/>
    </row>
    <row r="13" spans="1:24" s="65" customFormat="1" ht="24" customHeight="1">
      <c r="A13" s="283" t="s">
        <v>15</v>
      </c>
      <c r="B13" s="293" t="e">
        <f>'전체집계표-구역별'!B14</f>
        <v>#REF!</v>
      </c>
      <c r="C13" s="76" t="s">
        <v>5</v>
      </c>
      <c r="D13" s="176" t="e">
        <f>'전체집계표-구역별'!D14</f>
        <v>#REF!</v>
      </c>
      <c r="E13" s="293" t="e">
        <f>'전체집계표-구역별'!B45</f>
        <v>#REF!</v>
      </c>
      <c r="F13" s="76" t="s">
        <v>5</v>
      </c>
      <c r="G13" s="176" t="e">
        <f>'전체집계표-구역별'!D45</f>
        <v>#REF!</v>
      </c>
      <c r="H13" s="293" t="e">
        <f>'전체집계표-구역별'!B76</f>
        <v>#REF!</v>
      </c>
      <c r="I13" s="76" t="s">
        <v>5</v>
      </c>
      <c r="J13" s="176" t="e">
        <f>'전체집계표-구역별'!D76</f>
        <v>#REF!</v>
      </c>
      <c r="K13" s="293" t="e">
        <f t="shared" si="0"/>
        <v>#REF!</v>
      </c>
      <c r="L13" s="76" t="s">
        <v>5</v>
      </c>
      <c r="M13" s="176" t="e">
        <f>'전체집계표-구역별'!D107</f>
        <v>#REF!</v>
      </c>
      <c r="N13" s="284"/>
      <c r="O13" s="64"/>
      <c r="P13" s="64"/>
      <c r="Q13" s="64"/>
      <c r="R13" s="64"/>
      <c r="S13" s="64"/>
      <c r="T13" s="64"/>
      <c r="U13" s="74" t="e">
        <f t="shared" si="1"/>
        <v>#REF!</v>
      </c>
      <c r="V13" s="64"/>
    </row>
    <row r="14" spans="1:24" s="65" customFormat="1" ht="24" customHeight="1">
      <c r="A14" s="283" t="s">
        <v>14</v>
      </c>
      <c r="B14" s="293" t="e">
        <f>'전체집계표-구역별'!B15</f>
        <v>#REF!</v>
      </c>
      <c r="C14" s="76" t="s">
        <v>5</v>
      </c>
      <c r="D14" s="176" t="e">
        <f>'전체집계표-구역별'!D15</f>
        <v>#REF!</v>
      </c>
      <c r="E14" s="293" t="e">
        <f>'전체집계표-구역별'!B46</f>
        <v>#REF!</v>
      </c>
      <c r="F14" s="76" t="s">
        <v>5</v>
      </c>
      <c r="G14" s="176" t="e">
        <f>'전체집계표-구역별'!D46</f>
        <v>#REF!</v>
      </c>
      <c r="H14" s="293" t="e">
        <f>'전체집계표-구역별'!B77</f>
        <v>#REF!</v>
      </c>
      <c r="I14" s="76" t="s">
        <v>5</v>
      </c>
      <c r="J14" s="176" t="e">
        <f>'전체집계표-구역별'!D77</f>
        <v>#REF!</v>
      </c>
      <c r="K14" s="293" t="e">
        <f t="shared" si="0"/>
        <v>#REF!</v>
      </c>
      <c r="L14" s="76" t="s">
        <v>5</v>
      </c>
      <c r="M14" s="176" t="e">
        <f>'전체집계표-구역별'!D108</f>
        <v>#REF!</v>
      </c>
      <c r="N14" s="284"/>
      <c r="O14" s="64"/>
      <c r="P14" s="64"/>
      <c r="Q14" s="64"/>
      <c r="R14" s="64"/>
      <c r="S14" s="64"/>
      <c r="T14" s="64"/>
      <c r="U14" s="74" t="e">
        <f t="shared" si="1"/>
        <v>#REF!</v>
      </c>
      <c r="V14" s="64"/>
    </row>
    <row r="15" spans="1:24" s="65" customFormat="1" ht="24" customHeight="1">
      <c r="A15" s="283" t="s">
        <v>16</v>
      </c>
      <c r="B15" s="293" t="e">
        <f>'전체집계표-구역별'!B16</f>
        <v>#REF!</v>
      </c>
      <c r="C15" s="76" t="s">
        <v>5</v>
      </c>
      <c r="D15" s="176" t="e">
        <f>'전체집계표-구역별'!D16</f>
        <v>#REF!</v>
      </c>
      <c r="E15" s="293" t="e">
        <f>'전체집계표-구역별'!B47</f>
        <v>#REF!</v>
      </c>
      <c r="F15" s="76" t="s">
        <v>5</v>
      </c>
      <c r="G15" s="176" t="e">
        <f>'전체집계표-구역별'!D47</f>
        <v>#REF!</v>
      </c>
      <c r="H15" s="293" t="e">
        <f>'전체집계표-구역별'!B78</f>
        <v>#REF!</v>
      </c>
      <c r="I15" s="76" t="s">
        <v>5</v>
      </c>
      <c r="J15" s="176" t="e">
        <f>'전체집계표-구역별'!D78</f>
        <v>#REF!</v>
      </c>
      <c r="K15" s="293" t="e">
        <f t="shared" si="0"/>
        <v>#REF!</v>
      </c>
      <c r="L15" s="76" t="s">
        <v>5</v>
      </c>
      <c r="M15" s="176" t="e">
        <f>'전체집계표-구역별'!D109</f>
        <v>#REF!</v>
      </c>
      <c r="N15" s="284"/>
      <c r="O15" s="64"/>
      <c r="P15" s="64"/>
      <c r="Q15" s="64"/>
      <c r="R15" s="64"/>
      <c r="S15" s="64"/>
      <c r="T15" s="64"/>
      <c r="U15" s="74" t="e">
        <f t="shared" si="1"/>
        <v>#REF!</v>
      </c>
      <c r="V15" s="64"/>
    </row>
    <row r="16" spans="1:24" s="65" customFormat="1" ht="24" customHeight="1">
      <c r="A16" s="283" t="s">
        <v>21</v>
      </c>
      <c r="B16" s="293" t="e">
        <f>'전체집계표-구역별'!B17</f>
        <v>#REF!</v>
      </c>
      <c r="C16" s="76" t="s">
        <v>5</v>
      </c>
      <c r="D16" s="176" t="e">
        <f>'전체집계표-구역별'!D17</f>
        <v>#REF!</v>
      </c>
      <c r="E16" s="293" t="e">
        <f>'전체집계표-구역별'!B48</f>
        <v>#REF!</v>
      </c>
      <c r="F16" s="76" t="s">
        <v>5</v>
      </c>
      <c r="G16" s="176" t="e">
        <f>'전체집계표-구역별'!D48</f>
        <v>#REF!</v>
      </c>
      <c r="H16" s="293" t="e">
        <f>'전체집계표-구역별'!B79</f>
        <v>#REF!</v>
      </c>
      <c r="I16" s="76" t="s">
        <v>5</v>
      </c>
      <c r="J16" s="176" t="e">
        <f>'전체집계표-구역별'!D79</f>
        <v>#REF!</v>
      </c>
      <c r="K16" s="293" t="e">
        <f t="shared" si="0"/>
        <v>#REF!</v>
      </c>
      <c r="L16" s="76" t="s">
        <v>5</v>
      </c>
      <c r="M16" s="176" t="e">
        <f>'전체집계표-구역별'!D110</f>
        <v>#REF!</v>
      </c>
      <c r="N16" s="284"/>
      <c r="O16" s="64"/>
      <c r="P16" s="64"/>
      <c r="Q16" s="64"/>
      <c r="R16" s="64"/>
      <c r="S16" s="64"/>
      <c r="T16" s="64"/>
      <c r="U16" s="74" t="e">
        <f t="shared" si="1"/>
        <v>#REF!</v>
      </c>
      <c r="V16" s="64"/>
    </row>
    <row r="17" spans="1:22" s="65" customFormat="1" ht="24" customHeight="1">
      <c r="A17" s="283" t="s">
        <v>18</v>
      </c>
      <c r="B17" s="293" t="e">
        <f>'전체집계표-구역별'!B18</f>
        <v>#REF!</v>
      </c>
      <c r="C17" s="76" t="s">
        <v>5</v>
      </c>
      <c r="D17" s="176" t="e">
        <f>'전체집계표-구역별'!D18</f>
        <v>#REF!</v>
      </c>
      <c r="E17" s="293" t="e">
        <f>'전체집계표-구역별'!B49</f>
        <v>#REF!</v>
      </c>
      <c r="F17" s="76" t="s">
        <v>5</v>
      </c>
      <c r="G17" s="176" t="e">
        <f>'전체집계표-구역별'!D49</f>
        <v>#REF!</v>
      </c>
      <c r="H17" s="293" t="e">
        <f>'전체집계표-구역별'!B80</f>
        <v>#REF!</v>
      </c>
      <c r="I17" s="76" t="s">
        <v>5</v>
      </c>
      <c r="J17" s="176" t="e">
        <f>'전체집계표-구역별'!D80</f>
        <v>#REF!</v>
      </c>
      <c r="K17" s="293" t="e">
        <f t="shared" si="0"/>
        <v>#REF!</v>
      </c>
      <c r="L17" s="76" t="s">
        <v>5</v>
      </c>
      <c r="M17" s="176" t="e">
        <f>'전체집계표-구역별'!D111</f>
        <v>#REF!</v>
      </c>
      <c r="N17" s="284"/>
      <c r="O17" s="64"/>
      <c r="P17" s="64"/>
      <c r="Q17" s="64"/>
      <c r="R17" s="64"/>
      <c r="S17" s="64"/>
      <c r="T17" s="64"/>
      <c r="U17" s="74" t="e">
        <f t="shared" si="1"/>
        <v>#REF!</v>
      </c>
      <c r="V17" s="64"/>
    </row>
    <row r="18" spans="1:22" s="65" customFormat="1" ht="24" customHeight="1">
      <c r="A18" s="283" t="s">
        <v>23</v>
      </c>
      <c r="B18" s="293" t="e">
        <f>'전체집계표-구역별'!B19</f>
        <v>#REF!</v>
      </c>
      <c r="C18" s="76" t="s">
        <v>5</v>
      </c>
      <c r="D18" s="176" t="e">
        <f>'전체집계표-구역별'!D19</f>
        <v>#REF!</v>
      </c>
      <c r="E18" s="293" t="e">
        <f>'전체집계표-구역별'!B50</f>
        <v>#REF!</v>
      </c>
      <c r="F18" s="76" t="s">
        <v>5</v>
      </c>
      <c r="G18" s="176" t="e">
        <f>'전체집계표-구역별'!D50</f>
        <v>#REF!</v>
      </c>
      <c r="H18" s="293" t="e">
        <f>'전체집계표-구역별'!B81</f>
        <v>#REF!</v>
      </c>
      <c r="I18" s="76" t="s">
        <v>5</v>
      </c>
      <c r="J18" s="176" t="e">
        <f>'전체집계표-구역별'!D81</f>
        <v>#REF!</v>
      </c>
      <c r="K18" s="293" t="e">
        <f t="shared" si="0"/>
        <v>#REF!</v>
      </c>
      <c r="L18" s="76" t="s">
        <v>5</v>
      </c>
      <c r="M18" s="176" t="e">
        <f>'전체집계표-구역별'!D112</f>
        <v>#REF!</v>
      </c>
      <c r="N18" s="284"/>
      <c r="O18" s="64"/>
      <c r="P18" s="64"/>
      <c r="Q18" s="64"/>
      <c r="R18" s="64"/>
      <c r="S18" s="64"/>
      <c r="T18" s="64"/>
      <c r="U18" s="74" t="e">
        <f t="shared" si="1"/>
        <v>#REF!</v>
      </c>
      <c r="V18" s="64"/>
    </row>
    <row r="19" spans="1:22" s="65" customFormat="1" ht="24" customHeight="1">
      <c r="A19" s="283" t="s">
        <v>41</v>
      </c>
      <c r="B19" s="293" t="e">
        <f>'전체집계표-구역별'!B20</f>
        <v>#REF!</v>
      </c>
      <c r="C19" s="76" t="s">
        <v>5</v>
      </c>
      <c r="D19" s="176" t="e">
        <f>'전체집계표-구역별'!D20</f>
        <v>#REF!</v>
      </c>
      <c r="E19" s="293" t="e">
        <f>'전체집계표-구역별'!B51</f>
        <v>#REF!</v>
      </c>
      <c r="F19" s="76" t="s">
        <v>5</v>
      </c>
      <c r="G19" s="176" t="e">
        <f>'전체집계표-구역별'!D51</f>
        <v>#REF!</v>
      </c>
      <c r="H19" s="293" t="e">
        <f>'전체집계표-구역별'!B82</f>
        <v>#REF!</v>
      </c>
      <c r="I19" s="76" t="s">
        <v>5</v>
      </c>
      <c r="J19" s="176" t="e">
        <f>'전체집계표-구역별'!D82</f>
        <v>#REF!</v>
      </c>
      <c r="K19" s="293" t="e">
        <f t="shared" si="0"/>
        <v>#REF!</v>
      </c>
      <c r="L19" s="76" t="s">
        <v>5</v>
      </c>
      <c r="M19" s="176" t="e">
        <f>'전체집계표-구역별'!D113</f>
        <v>#REF!</v>
      </c>
      <c r="N19" s="284"/>
      <c r="O19" s="64"/>
      <c r="P19" s="64"/>
      <c r="Q19" s="64"/>
      <c r="R19" s="64"/>
      <c r="S19" s="64"/>
      <c r="T19" s="64"/>
      <c r="U19" s="74" t="e">
        <f t="shared" si="1"/>
        <v>#REF!</v>
      </c>
      <c r="V19" s="64"/>
    </row>
    <row r="20" spans="1:22" s="65" customFormat="1" ht="24" customHeight="1">
      <c r="A20" s="283" t="s">
        <v>17</v>
      </c>
      <c r="B20" s="293" t="e">
        <f>'전체집계표-구역별'!B21</f>
        <v>#REF!</v>
      </c>
      <c r="C20" s="76" t="s">
        <v>5</v>
      </c>
      <c r="D20" s="176" t="e">
        <f>'전체집계표-구역별'!D21</f>
        <v>#REF!</v>
      </c>
      <c r="E20" s="293" t="e">
        <f>'전체집계표-구역별'!B52</f>
        <v>#REF!</v>
      </c>
      <c r="F20" s="76" t="s">
        <v>5</v>
      </c>
      <c r="G20" s="176" t="e">
        <f>'전체집계표-구역별'!D52</f>
        <v>#REF!</v>
      </c>
      <c r="H20" s="293" t="e">
        <f>'전체집계표-구역별'!B83</f>
        <v>#REF!</v>
      </c>
      <c r="I20" s="76" t="s">
        <v>5</v>
      </c>
      <c r="J20" s="176" t="e">
        <f>'전체집계표-구역별'!D83</f>
        <v>#REF!</v>
      </c>
      <c r="K20" s="293" t="e">
        <f t="shared" si="0"/>
        <v>#REF!</v>
      </c>
      <c r="L20" s="76" t="s">
        <v>5</v>
      </c>
      <c r="M20" s="176" t="e">
        <f>'전체집계표-구역별'!D114</f>
        <v>#REF!</v>
      </c>
      <c r="N20" s="284"/>
      <c r="O20" s="64"/>
      <c r="P20" s="64"/>
      <c r="Q20" s="64"/>
      <c r="R20" s="64"/>
      <c r="S20" s="64"/>
      <c r="T20" s="64"/>
      <c r="U20" s="74" t="e">
        <f t="shared" si="1"/>
        <v>#REF!</v>
      </c>
      <c r="V20" s="64"/>
    </row>
    <row r="21" spans="1:22" s="65" customFormat="1" ht="24" customHeight="1">
      <c r="A21" s="283" t="s">
        <v>20</v>
      </c>
      <c r="B21" s="293" t="e">
        <f>'전체집계표-구역별'!B22</f>
        <v>#REF!</v>
      </c>
      <c r="C21" s="76" t="s">
        <v>5</v>
      </c>
      <c r="D21" s="176" t="e">
        <f>'전체집계표-구역별'!D22</f>
        <v>#REF!</v>
      </c>
      <c r="E21" s="293" t="e">
        <f>'전체집계표-구역별'!B53</f>
        <v>#REF!</v>
      </c>
      <c r="F21" s="76" t="s">
        <v>5</v>
      </c>
      <c r="G21" s="176" t="e">
        <f>'전체집계표-구역별'!D53</f>
        <v>#REF!</v>
      </c>
      <c r="H21" s="293" t="e">
        <f>'전체집계표-구역별'!B84</f>
        <v>#REF!</v>
      </c>
      <c r="I21" s="76" t="s">
        <v>5</v>
      </c>
      <c r="J21" s="176" t="e">
        <f>'전체집계표-구역별'!D84</f>
        <v>#REF!</v>
      </c>
      <c r="K21" s="293" t="e">
        <f t="shared" si="0"/>
        <v>#REF!</v>
      </c>
      <c r="L21" s="76" t="s">
        <v>5</v>
      </c>
      <c r="M21" s="176" t="e">
        <f>'전체집계표-구역별'!D115</f>
        <v>#REF!</v>
      </c>
      <c r="N21" s="284"/>
      <c r="O21" s="64"/>
      <c r="P21" s="64"/>
      <c r="Q21" s="64"/>
      <c r="R21" s="64"/>
      <c r="S21" s="64"/>
      <c r="T21" s="64"/>
      <c r="U21" s="74" t="e">
        <f t="shared" si="1"/>
        <v>#REF!</v>
      </c>
      <c r="V21" s="64"/>
    </row>
    <row r="22" spans="1:22" s="65" customFormat="1" ht="24" customHeight="1">
      <c r="A22" s="283" t="s">
        <v>19</v>
      </c>
      <c r="B22" s="293" t="e">
        <f>'전체집계표-구역별'!B23</f>
        <v>#REF!</v>
      </c>
      <c r="C22" s="76" t="s">
        <v>5</v>
      </c>
      <c r="D22" s="176" t="e">
        <f>'전체집계표-구역별'!D23</f>
        <v>#REF!</v>
      </c>
      <c r="E22" s="293" t="e">
        <f>'전체집계표-구역별'!B54</f>
        <v>#REF!</v>
      </c>
      <c r="F22" s="76" t="s">
        <v>5</v>
      </c>
      <c r="G22" s="176" t="e">
        <f>'전체집계표-구역별'!D54</f>
        <v>#REF!</v>
      </c>
      <c r="H22" s="293" t="e">
        <f>'전체집계표-구역별'!B85</f>
        <v>#REF!</v>
      </c>
      <c r="I22" s="76" t="s">
        <v>5</v>
      </c>
      <c r="J22" s="176" t="e">
        <f>'전체집계표-구역별'!D85</f>
        <v>#REF!</v>
      </c>
      <c r="K22" s="293" t="e">
        <f t="shared" si="0"/>
        <v>#REF!</v>
      </c>
      <c r="L22" s="76" t="s">
        <v>5</v>
      </c>
      <c r="M22" s="176" t="e">
        <f>'전체집계표-구역별'!D116</f>
        <v>#REF!</v>
      </c>
      <c r="N22" s="284"/>
      <c r="O22" s="64"/>
      <c r="P22" s="64"/>
      <c r="Q22" s="64"/>
      <c r="R22" s="64"/>
      <c r="S22" s="64"/>
      <c r="T22" s="64"/>
      <c r="U22" s="74" t="e">
        <f t="shared" si="1"/>
        <v>#REF!</v>
      </c>
      <c r="V22" s="64"/>
    </row>
    <row r="23" spans="1:22" s="65" customFormat="1" ht="24" customHeight="1">
      <c r="A23" s="283" t="s">
        <v>42</v>
      </c>
      <c r="B23" s="293" t="e">
        <f>'전체집계표-구역별'!B24</f>
        <v>#REF!</v>
      </c>
      <c r="C23" s="76" t="s">
        <v>5</v>
      </c>
      <c r="D23" s="176" t="e">
        <f>'전체집계표-구역별'!D24</f>
        <v>#REF!</v>
      </c>
      <c r="E23" s="293" t="e">
        <f>'전체집계표-구역별'!B55</f>
        <v>#REF!</v>
      </c>
      <c r="F23" s="76" t="s">
        <v>5</v>
      </c>
      <c r="G23" s="176" t="e">
        <f>'전체집계표-구역별'!D55</f>
        <v>#REF!</v>
      </c>
      <c r="H23" s="293" t="e">
        <f>'전체집계표-구역별'!B86</f>
        <v>#REF!</v>
      </c>
      <c r="I23" s="76" t="s">
        <v>5</v>
      </c>
      <c r="J23" s="176" t="e">
        <f>'전체집계표-구역별'!D86</f>
        <v>#REF!</v>
      </c>
      <c r="K23" s="293" t="e">
        <f t="shared" si="0"/>
        <v>#REF!</v>
      </c>
      <c r="L23" s="76" t="s">
        <v>5</v>
      </c>
      <c r="M23" s="176" t="e">
        <f>'전체집계표-구역별'!D117</f>
        <v>#REF!</v>
      </c>
      <c r="N23" s="284"/>
      <c r="O23" s="64"/>
      <c r="P23" s="64"/>
      <c r="Q23" s="64"/>
      <c r="R23" s="64"/>
      <c r="S23" s="64"/>
      <c r="T23" s="64"/>
      <c r="U23" s="74" t="e">
        <f t="shared" si="1"/>
        <v>#REF!</v>
      </c>
      <c r="V23" s="64"/>
    </row>
    <row r="24" spans="1:22" s="65" customFormat="1" ht="24" customHeight="1">
      <c r="A24" s="283" t="s">
        <v>43</v>
      </c>
      <c r="B24" s="293" t="e">
        <f>'전체집계표-구역별'!B25</f>
        <v>#REF!</v>
      </c>
      <c r="C24" s="76" t="s">
        <v>5</v>
      </c>
      <c r="D24" s="176" t="e">
        <f>'전체집계표-구역별'!D25</f>
        <v>#REF!</v>
      </c>
      <c r="E24" s="293" t="e">
        <f>'전체집계표-구역별'!B56</f>
        <v>#REF!</v>
      </c>
      <c r="F24" s="76" t="s">
        <v>5</v>
      </c>
      <c r="G24" s="176" t="e">
        <f>'전체집계표-구역별'!D56</f>
        <v>#REF!</v>
      </c>
      <c r="H24" s="293" t="e">
        <f>'전체집계표-구역별'!B87</f>
        <v>#REF!</v>
      </c>
      <c r="I24" s="76" t="s">
        <v>5</v>
      </c>
      <c r="J24" s="176" t="e">
        <f>'전체집계표-구역별'!D87</f>
        <v>#REF!</v>
      </c>
      <c r="K24" s="293" t="e">
        <f t="shared" si="0"/>
        <v>#REF!</v>
      </c>
      <c r="L24" s="76" t="s">
        <v>5</v>
      </c>
      <c r="M24" s="176" t="e">
        <f>'전체집계표-구역별'!D118</f>
        <v>#REF!</v>
      </c>
      <c r="N24" s="284"/>
      <c r="O24" s="64"/>
      <c r="P24" s="64"/>
      <c r="Q24" s="64"/>
      <c r="R24" s="64"/>
      <c r="S24" s="64"/>
      <c r="T24" s="64"/>
      <c r="U24" s="74" t="e">
        <f t="shared" si="1"/>
        <v>#REF!</v>
      </c>
      <c r="V24" s="64"/>
    </row>
    <row r="25" spans="1:22" s="65" customFormat="1" ht="24" customHeight="1">
      <c r="A25" s="283" t="s">
        <v>44</v>
      </c>
      <c r="B25" s="293" t="e">
        <f>'전체집계표-구역별'!B26</f>
        <v>#REF!</v>
      </c>
      <c r="C25" s="76" t="s">
        <v>5</v>
      </c>
      <c r="D25" s="176" t="e">
        <f>'전체집계표-구역별'!D26</f>
        <v>#REF!</v>
      </c>
      <c r="E25" s="293" t="e">
        <f>'전체집계표-구역별'!B57</f>
        <v>#REF!</v>
      </c>
      <c r="F25" s="76" t="s">
        <v>5</v>
      </c>
      <c r="G25" s="176" t="e">
        <f>'전체집계표-구역별'!D57</f>
        <v>#REF!</v>
      </c>
      <c r="H25" s="293" t="e">
        <f>'전체집계표-구역별'!B88</f>
        <v>#REF!</v>
      </c>
      <c r="I25" s="76" t="s">
        <v>5</v>
      </c>
      <c r="J25" s="176" t="e">
        <f>'전체집계표-구역별'!D88</f>
        <v>#REF!</v>
      </c>
      <c r="K25" s="293" t="e">
        <f t="shared" si="0"/>
        <v>#REF!</v>
      </c>
      <c r="L25" s="76" t="s">
        <v>5</v>
      </c>
      <c r="M25" s="176" t="e">
        <f>'전체집계표-구역별'!D119</f>
        <v>#REF!</v>
      </c>
      <c r="N25" s="284"/>
      <c r="O25" s="64"/>
      <c r="P25" s="64"/>
      <c r="Q25" s="64"/>
      <c r="R25" s="64"/>
      <c r="S25" s="64"/>
      <c r="T25" s="64"/>
      <c r="U25" s="74" t="e">
        <f t="shared" si="1"/>
        <v>#REF!</v>
      </c>
      <c r="V25" s="64"/>
    </row>
    <row r="26" spans="1:22" s="65" customFormat="1" ht="24" customHeight="1">
      <c r="A26" s="283" t="s">
        <v>45</v>
      </c>
      <c r="B26" s="293" t="e">
        <f>'전체집계표-구역별'!B27</f>
        <v>#REF!</v>
      </c>
      <c r="C26" s="76" t="s">
        <v>5</v>
      </c>
      <c r="D26" s="176" t="e">
        <f>'전체집계표-구역별'!D27</f>
        <v>#REF!</v>
      </c>
      <c r="E26" s="293" t="e">
        <f>'전체집계표-구역별'!B58</f>
        <v>#REF!</v>
      </c>
      <c r="F26" s="76" t="s">
        <v>5</v>
      </c>
      <c r="G26" s="176" t="e">
        <f>'전체집계표-구역별'!D58</f>
        <v>#REF!</v>
      </c>
      <c r="H26" s="293" t="e">
        <f>'전체집계표-구역별'!B89</f>
        <v>#REF!</v>
      </c>
      <c r="I26" s="76" t="s">
        <v>5</v>
      </c>
      <c r="J26" s="176" t="e">
        <f>'전체집계표-구역별'!D89</f>
        <v>#REF!</v>
      </c>
      <c r="K26" s="293" t="e">
        <f t="shared" si="0"/>
        <v>#REF!</v>
      </c>
      <c r="L26" s="76" t="s">
        <v>5</v>
      </c>
      <c r="M26" s="176" t="e">
        <f>'전체집계표-구역별'!D120</f>
        <v>#REF!</v>
      </c>
      <c r="N26" s="284"/>
      <c r="O26" s="64"/>
      <c r="P26" s="64"/>
      <c r="Q26" s="64"/>
      <c r="R26" s="64"/>
      <c r="S26" s="64"/>
      <c r="T26" s="64"/>
      <c r="U26" s="74" t="e">
        <f t="shared" si="1"/>
        <v>#REF!</v>
      </c>
      <c r="V26" s="64"/>
    </row>
    <row r="27" spans="1:22" s="65" customFormat="1" ht="24" customHeight="1">
      <c r="A27" s="283" t="s">
        <v>60</v>
      </c>
      <c r="B27" s="293" t="e">
        <f>'전체집계표-구역별'!B28</f>
        <v>#REF!</v>
      </c>
      <c r="C27" s="76" t="s">
        <v>5</v>
      </c>
      <c r="D27" s="176" t="e">
        <f>'전체집계표-구역별'!D28</f>
        <v>#REF!</v>
      </c>
      <c r="E27" s="293" t="e">
        <f>'전체집계표-구역별'!B59</f>
        <v>#REF!</v>
      </c>
      <c r="F27" s="76" t="s">
        <v>5</v>
      </c>
      <c r="G27" s="176" t="e">
        <f>'전체집계표-구역별'!D59</f>
        <v>#REF!</v>
      </c>
      <c r="H27" s="293" t="e">
        <f>'전체집계표-구역별'!B90</f>
        <v>#REF!</v>
      </c>
      <c r="I27" s="76" t="s">
        <v>5</v>
      </c>
      <c r="J27" s="176" t="e">
        <f>'전체집계표-구역별'!D90</f>
        <v>#REF!</v>
      </c>
      <c r="K27" s="293" t="e">
        <f t="shared" si="0"/>
        <v>#REF!</v>
      </c>
      <c r="L27" s="76" t="s">
        <v>5</v>
      </c>
      <c r="M27" s="176" t="e">
        <f>'전체집계표-구역별'!D121</f>
        <v>#REF!</v>
      </c>
      <c r="N27" s="284"/>
      <c r="O27" s="64"/>
      <c r="P27" s="64"/>
      <c r="Q27" s="64"/>
      <c r="R27" s="64"/>
      <c r="S27" s="64"/>
      <c r="T27" s="64"/>
      <c r="U27" s="74" t="e">
        <f t="shared" si="1"/>
        <v>#REF!</v>
      </c>
      <c r="V27" s="64"/>
    </row>
    <row r="28" spans="1:22" s="65" customFormat="1" ht="24" customHeight="1">
      <c r="A28" s="283" t="s">
        <v>56</v>
      </c>
      <c r="B28" s="293" t="e">
        <f>'전체집계표-구역별'!B29</f>
        <v>#REF!</v>
      </c>
      <c r="C28" s="76" t="s">
        <v>5</v>
      </c>
      <c r="D28" s="176" t="e">
        <f>'전체집계표-구역별'!D29</f>
        <v>#REF!</v>
      </c>
      <c r="E28" s="293" t="e">
        <f>'전체집계표-구역별'!B60</f>
        <v>#REF!</v>
      </c>
      <c r="F28" s="76" t="s">
        <v>5</v>
      </c>
      <c r="G28" s="176" t="e">
        <f>'전체집계표-구역별'!D60</f>
        <v>#REF!</v>
      </c>
      <c r="H28" s="293" t="e">
        <f>'전체집계표-구역별'!B91</f>
        <v>#REF!</v>
      </c>
      <c r="I28" s="76" t="s">
        <v>5</v>
      </c>
      <c r="J28" s="176" t="e">
        <f>'전체집계표-구역별'!D91</f>
        <v>#REF!</v>
      </c>
      <c r="K28" s="293" t="e">
        <f t="shared" si="0"/>
        <v>#REF!</v>
      </c>
      <c r="L28" s="76" t="s">
        <v>5</v>
      </c>
      <c r="M28" s="176" t="e">
        <f>'전체집계표-구역별'!D122</f>
        <v>#REF!</v>
      </c>
      <c r="N28" s="284"/>
      <c r="O28" s="64"/>
      <c r="P28" s="64"/>
      <c r="Q28" s="64"/>
      <c r="R28" s="64"/>
      <c r="S28" s="64"/>
      <c r="T28" s="64"/>
      <c r="U28" s="74" t="e">
        <f t="shared" si="1"/>
        <v>#REF!</v>
      </c>
      <c r="V28" s="64"/>
    </row>
    <row r="29" spans="1:22" s="65" customFormat="1" ht="24" customHeight="1">
      <c r="A29" s="283" t="s">
        <v>57</v>
      </c>
      <c r="B29" s="293" t="e">
        <f>'전체집계표-구역별'!B30</f>
        <v>#REF!</v>
      </c>
      <c r="C29" s="76" t="s">
        <v>5</v>
      </c>
      <c r="D29" s="176" t="e">
        <f>'전체집계표-구역별'!D30</f>
        <v>#REF!</v>
      </c>
      <c r="E29" s="293" t="e">
        <f>'전체집계표-구역별'!B61</f>
        <v>#REF!</v>
      </c>
      <c r="F29" s="76" t="s">
        <v>5</v>
      </c>
      <c r="G29" s="176" t="e">
        <f>'전체집계표-구역별'!D61</f>
        <v>#REF!</v>
      </c>
      <c r="H29" s="293" t="e">
        <f>'전체집계표-구역별'!B92</f>
        <v>#REF!</v>
      </c>
      <c r="I29" s="76" t="s">
        <v>5</v>
      </c>
      <c r="J29" s="176" t="e">
        <f>'전체집계표-구역별'!D92</f>
        <v>#REF!</v>
      </c>
      <c r="K29" s="293" t="e">
        <f t="shared" si="0"/>
        <v>#REF!</v>
      </c>
      <c r="L29" s="76" t="s">
        <v>5</v>
      </c>
      <c r="M29" s="176" t="e">
        <f>'전체집계표-구역별'!D123</f>
        <v>#REF!</v>
      </c>
      <c r="N29" s="284"/>
      <c r="O29" s="64"/>
      <c r="P29" s="64"/>
      <c r="Q29" s="64"/>
      <c r="R29" s="64"/>
      <c r="S29" s="64"/>
      <c r="T29" s="64"/>
      <c r="U29" s="74" t="e">
        <f t="shared" si="1"/>
        <v>#REF!</v>
      </c>
      <c r="V29" s="64"/>
    </row>
    <row r="30" spans="1:22" s="65" customFormat="1" ht="24" customHeight="1">
      <c r="A30" s="285" t="s">
        <v>108</v>
      </c>
      <c r="B30" s="294" t="e">
        <f>'전체집계표-구역별'!B31</f>
        <v>#REF!</v>
      </c>
      <c r="C30" s="81" t="s">
        <v>5</v>
      </c>
      <c r="D30" s="178" t="e">
        <f>'전체집계표-구역별'!D31</f>
        <v>#REF!</v>
      </c>
      <c r="E30" s="294" t="e">
        <f>'전체집계표-구역별'!B62</f>
        <v>#REF!</v>
      </c>
      <c r="F30" s="81" t="s">
        <v>5</v>
      </c>
      <c r="G30" s="178" t="e">
        <f>'전체집계표-구역별'!D62</f>
        <v>#REF!</v>
      </c>
      <c r="H30" s="294" t="e">
        <f>'전체집계표-구역별'!B93</f>
        <v>#REF!</v>
      </c>
      <c r="I30" s="81" t="s">
        <v>5</v>
      </c>
      <c r="J30" s="178" t="e">
        <f>'전체집계표-구역별'!D93</f>
        <v>#REF!</v>
      </c>
      <c r="K30" s="294" t="e">
        <f t="shared" si="0"/>
        <v>#REF!</v>
      </c>
      <c r="L30" s="81" t="s">
        <v>5</v>
      </c>
      <c r="M30" s="178" t="e">
        <f>'전체집계표-구역별'!D124</f>
        <v>#REF!</v>
      </c>
      <c r="N30" s="286"/>
      <c r="O30" s="64"/>
      <c r="P30" s="64"/>
      <c r="Q30" s="64"/>
      <c r="R30" s="64"/>
      <c r="S30" s="64"/>
      <c r="T30" s="64"/>
      <c r="U30" s="74" t="e">
        <f t="shared" si="1"/>
        <v>#REF!</v>
      </c>
      <c r="V30" s="64"/>
    </row>
    <row r="31" spans="1:22" s="59" customFormat="1" ht="20.100000000000001" hidden="1" customHeight="1">
      <c r="A31" s="56" t="e">
        <f>IF(EXACT(O35,O36),,"검산확인요!!!")</f>
        <v>#REF!</v>
      </c>
      <c r="B31" s="57"/>
      <c r="C31" s="57"/>
      <c r="D31" s="95"/>
      <c r="E31" s="57"/>
      <c r="F31" s="57"/>
      <c r="G31" s="95"/>
      <c r="H31" s="57"/>
      <c r="I31" s="57"/>
      <c r="J31" s="95"/>
      <c r="K31" s="86" t="e">
        <f>IF(ISBLANK(#REF!),,#REF!)</f>
        <v>#REF!</v>
      </c>
      <c r="L31" s="58"/>
      <c r="M31" s="97"/>
      <c r="N31" s="53"/>
    </row>
    <row r="32" spans="1:22" s="59" customFormat="1" ht="9.9499999999999993" hidden="1" customHeight="1">
      <c r="A32" s="56"/>
      <c r="B32" s="57"/>
      <c r="C32" s="57"/>
      <c r="D32" s="95"/>
      <c r="E32" s="57"/>
      <c r="F32" s="57"/>
      <c r="G32" s="95"/>
      <c r="H32" s="57"/>
      <c r="I32" s="57"/>
      <c r="J32" s="95"/>
      <c r="K32" s="57"/>
      <c r="L32" s="57"/>
      <c r="M32" s="95"/>
      <c r="N32" s="57"/>
    </row>
    <row r="33" spans="1:22" s="65" customFormat="1" ht="27.95" hidden="1" customHeight="1">
      <c r="A33" s="60" t="s">
        <v>2</v>
      </c>
      <c r="B33" s="101" t="s">
        <v>3</v>
      </c>
      <c r="C33" s="102"/>
      <c r="D33" s="103"/>
      <c r="E33" s="101" t="s">
        <v>47</v>
      </c>
      <c r="F33" s="102"/>
      <c r="G33" s="103"/>
      <c r="H33" s="101" t="s">
        <v>58</v>
      </c>
      <c r="I33" s="102"/>
      <c r="J33" s="103"/>
      <c r="K33" s="101" t="s">
        <v>48</v>
      </c>
      <c r="L33" s="102"/>
      <c r="M33" s="103"/>
      <c r="N33" s="63" t="s">
        <v>22</v>
      </c>
      <c r="O33" s="64"/>
      <c r="S33" s="64"/>
      <c r="T33" s="64"/>
      <c r="U33" s="64"/>
      <c r="V33" s="64"/>
    </row>
    <row r="34" spans="1:22" s="65" customFormat="1" ht="27.95" hidden="1" customHeight="1">
      <c r="A34" s="66"/>
      <c r="B34" s="98" t="s">
        <v>4</v>
      </c>
      <c r="C34" s="99" t="s">
        <v>5</v>
      </c>
      <c r="D34" s="100" t="s">
        <v>49</v>
      </c>
      <c r="E34" s="98" t="s">
        <v>4</v>
      </c>
      <c r="F34" s="99" t="s">
        <v>5</v>
      </c>
      <c r="G34" s="100" t="s">
        <v>49</v>
      </c>
      <c r="H34" s="98" t="s">
        <v>4</v>
      </c>
      <c r="I34" s="99" t="s">
        <v>5</v>
      </c>
      <c r="J34" s="100" t="s">
        <v>49</v>
      </c>
      <c r="K34" s="98" t="s">
        <v>4</v>
      </c>
      <c r="L34" s="99" t="s">
        <v>5</v>
      </c>
      <c r="M34" s="100" t="s">
        <v>49</v>
      </c>
      <c r="N34" s="69"/>
      <c r="P34" s="64"/>
      <c r="Q34" s="70" t="s">
        <v>50</v>
      </c>
      <c r="R34" s="70" t="s">
        <v>51</v>
      </c>
      <c r="S34" s="70" t="s">
        <v>52</v>
      </c>
      <c r="T34" s="70" t="s">
        <v>53</v>
      </c>
      <c r="U34" s="64"/>
      <c r="V34" s="64"/>
    </row>
    <row r="35" spans="1:22" s="65" customFormat="1" ht="23.1" hidden="1" customHeight="1">
      <c r="A35" s="104" t="s">
        <v>3</v>
      </c>
      <c r="B35" s="105" t="e">
        <f>SUM(B36:B60)</f>
        <v>#REF!</v>
      </c>
      <c r="C35" s="106" t="s">
        <v>5</v>
      </c>
      <c r="D35" s="107" t="e">
        <f>SUM(D36:D60)</f>
        <v>#REF!</v>
      </c>
      <c r="E35" s="105" t="e">
        <f>SUM(E36:E60)</f>
        <v>#REF!</v>
      </c>
      <c r="F35" s="106" t="s">
        <v>5</v>
      </c>
      <c r="G35" s="107" t="e">
        <f>SUM(G36:G60)</f>
        <v>#REF!</v>
      </c>
      <c r="H35" s="105" t="e">
        <f>SUM(H36:H60)</f>
        <v>#REF!</v>
      </c>
      <c r="I35" s="106" t="s">
        <v>5</v>
      </c>
      <c r="J35" s="107" t="e">
        <f>SUM(J36:J60)</f>
        <v>#REF!</v>
      </c>
      <c r="K35" s="105" t="e">
        <f>SUM(K36:K60)</f>
        <v>#REF!</v>
      </c>
      <c r="L35" s="106" t="s">
        <v>5</v>
      </c>
      <c r="M35" s="107" t="e">
        <f>SUM(M36:M60)</f>
        <v>#REF!</v>
      </c>
      <c r="N35" s="108"/>
      <c r="O35" s="64" t="e">
        <f>IF(EXACT(Q35,T35),"맞음","틀림")</f>
        <v>#REF!</v>
      </c>
      <c r="P35" s="64" t="s">
        <v>4</v>
      </c>
      <c r="Q35" s="74" t="e">
        <f>SUM(B36:B60)</f>
        <v>#REF!</v>
      </c>
      <c r="R35" s="74" t="e">
        <f>SUM(H36:H60)</f>
        <v>#REF!</v>
      </c>
      <c r="S35" s="74" t="e">
        <f>SUM(K36:K60)</f>
        <v>#REF!</v>
      </c>
      <c r="T35" s="74" t="e">
        <f>K35+H35</f>
        <v>#REF!</v>
      </c>
      <c r="U35" s="64"/>
      <c r="V35" s="64"/>
    </row>
    <row r="36" spans="1:22" s="65" customFormat="1" ht="23.1" hidden="1" customHeight="1">
      <c r="A36" s="104" t="s">
        <v>7</v>
      </c>
      <c r="B36" s="105" t="e">
        <f>COUNTIF(#REF!,"전")</f>
        <v>#REF!</v>
      </c>
      <c r="C36" s="106" t="s">
        <v>5</v>
      </c>
      <c r="D36" s="107" t="e">
        <f>SUMIF(#REF!,"전",#REF!)</f>
        <v>#REF!</v>
      </c>
      <c r="E36" s="105" t="e">
        <f>COUNTIF(#REF!,"전국")</f>
        <v>#REF!</v>
      </c>
      <c r="F36" s="106" t="s">
        <v>5</v>
      </c>
      <c r="G36" s="107" t="e">
        <f>SUMIF(#REF!,"전국",#REF!)</f>
        <v>#REF!</v>
      </c>
      <c r="H36" s="105" t="e">
        <f>COUNTIF(#REF!,"전공")</f>
        <v>#REF!</v>
      </c>
      <c r="I36" s="106" t="s">
        <v>5</v>
      </c>
      <c r="J36" s="107" t="e">
        <f>SUMIF(#REF!,"전공",#REF!)</f>
        <v>#REF!</v>
      </c>
      <c r="K36" s="105" t="e">
        <f t="shared" ref="K36:K60" si="2">B36-E36-H36</f>
        <v>#REF!</v>
      </c>
      <c r="L36" s="106" t="s">
        <v>5</v>
      </c>
      <c r="M36" s="107" t="e">
        <f t="shared" ref="M36:M60" si="3">D36-G36-J36</f>
        <v>#REF!</v>
      </c>
      <c r="N36" s="108"/>
      <c r="O36" s="64" t="e">
        <f>IF(EXACT(Q36,T36),"맞음","틀림")</f>
        <v>#REF!</v>
      </c>
      <c r="P36" s="64" t="s">
        <v>54</v>
      </c>
      <c r="Q36" s="74" t="e">
        <f>SUM(D36:D60)</f>
        <v>#REF!</v>
      </c>
      <c r="R36" s="74" t="e">
        <f>SUM(J36:J60)</f>
        <v>#REF!</v>
      </c>
      <c r="S36" s="74" t="e">
        <f>SUM(M36:M60)</f>
        <v>#REF!</v>
      </c>
      <c r="T36" s="74" t="e">
        <f>J35+M35</f>
        <v>#REF!</v>
      </c>
      <c r="U36" s="64"/>
      <c r="V36" s="64"/>
    </row>
    <row r="37" spans="1:22" s="65" customFormat="1" ht="23.1" hidden="1" customHeight="1">
      <c r="A37" s="104" t="s">
        <v>8</v>
      </c>
      <c r="B37" s="105" t="e">
        <f>COUNTIF(#REF!,"답")</f>
        <v>#REF!</v>
      </c>
      <c r="C37" s="106" t="s">
        <v>5</v>
      </c>
      <c r="D37" s="107" t="e">
        <f>SUMIF(#REF!,"답",#REF!)</f>
        <v>#REF!</v>
      </c>
      <c r="E37" s="105" t="e">
        <f>COUNTIF(#REF!,"답국")</f>
        <v>#REF!</v>
      </c>
      <c r="F37" s="106" t="s">
        <v>5</v>
      </c>
      <c r="G37" s="107" t="e">
        <f>SUMIF(#REF!,"답국",#REF!)</f>
        <v>#REF!</v>
      </c>
      <c r="H37" s="105" t="e">
        <f>COUNTIF(#REF!,"답공")</f>
        <v>#REF!</v>
      </c>
      <c r="I37" s="106" t="s">
        <v>5</v>
      </c>
      <c r="J37" s="107" t="e">
        <f>SUMIF(#REF!,"답공",#REF!)</f>
        <v>#REF!</v>
      </c>
      <c r="K37" s="105" t="e">
        <f t="shared" si="2"/>
        <v>#REF!</v>
      </c>
      <c r="L37" s="106" t="s">
        <v>5</v>
      </c>
      <c r="M37" s="107" t="e">
        <f t="shared" si="3"/>
        <v>#REF!</v>
      </c>
      <c r="N37" s="108"/>
      <c r="Q37" s="64"/>
      <c r="S37" s="64"/>
      <c r="U37" s="64"/>
      <c r="V37" s="64"/>
    </row>
    <row r="38" spans="1:22" s="65" customFormat="1" ht="23.1" hidden="1" customHeight="1">
      <c r="A38" s="109" t="s">
        <v>9</v>
      </c>
      <c r="B38" s="105" t="e">
        <f>COUNTIF(#REF!,"임")</f>
        <v>#REF!</v>
      </c>
      <c r="C38" s="106" t="s">
        <v>5</v>
      </c>
      <c r="D38" s="107" t="e">
        <f>SUMIF(#REF!,"임",#REF!)</f>
        <v>#REF!</v>
      </c>
      <c r="E38" s="105" t="e">
        <f>COUNTIF(#REF!,"임국")</f>
        <v>#REF!</v>
      </c>
      <c r="F38" s="106" t="s">
        <v>5</v>
      </c>
      <c r="G38" s="107" t="e">
        <f>SUMIF(#REF!,"임국",#REF!)</f>
        <v>#REF!</v>
      </c>
      <c r="H38" s="105" t="e">
        <f>COUNTIF(#REF!,"임공")</f>
        <v>#REF!</v>
      </c>
      <c r="I38" s="106" t="s">
        <v>5</v>
      </c>
      <c r="J38" s="107" t="e">
        <f>SUMIF(#REF!,"임공",#REF!)</f>
        <v>#REF!</v>
      </c>
      <c r="K38" s="105" t="e">
        <f t="shared" si="2"/>
        <v>#REF!</v>
      </c>
      <c r="L38" s="106" t="s">
        <v>5</v>
      </c>
      <c r="M38" s="107" t="e">
        <f t="shared" si="3"/>
        <v>#REF!</v>
      </c>
      <c r="N38" s="108"/>
      <c r="Q38" s="64"/>
      <c r="S38" s="64"/>
      <c r="U38" s="64"/>
      <c r="V38" s="64"/>
    </row>
    <row r="39" spans="1:22" s="65" customFormat="1" ht="23.1" hidden="1" customHeight="1">
      <c r="A39" s="104" t="s">
        <v>10</v>
      </c>
      <c r="B39" s="105" t="e">
        <f>COUNTIF(#REF!,"대")</f>
        <v>#REF!</v>
      </c>
      <c r="C39" s="106" t="s">
        <v>5</v>
      </c>
      <c r="D39" s="107" t="e">
        <f>SUMIF(#REF!,"대",#REF!)</f>
        <v>#REF!</v>
      </c>
      <c r="E39" s="105" t="e">
        <f>COUNTIF(#REF!,"대국")</f>
        <v>#REF!</v>
      </c>
      <c r="F39" s="106" t="s">
        <v>5</v>
      </c>
      <c r="G39" s="107" t="e">
        <f>SUMIF(#REF!,"대국",#REF!)</f>
        <v>#REF!</v>
      </c>
      <c r="H39" s="105" t="e">
        <f>COUNTIF(#REF!,"대공")</f>
        <v>#REF!</v>
      </c>
      <c r="I39" s="106" t="s">
        <v>5</v>
      </c>
      <c r="J39" s="107" t="e">
        <f>SUMIF(#REF!,"대공",#REF!)</f>
        <v>#REF!</v>
      </c>
      <c r="K39" s="105" t="e">
        <f t="shared" si="2"/>
        <v>#REF!</v>
      </c>
      <c r="L39" s="106" t="s">
        <v>5</v>
      </c>
      <c r="M39" s="107" t="e">
        <f t="shared" si="3"/>
        <v>#REF!</v>
      </c>
      <c r="N39" s="108"/>
      <c r="O39" s="64"/>
      <c r="P39" s="64"/>
      <c r="Q39" s="64"/>
      <c r="R39" s="64"/>
      <c r="S39" s="64"/>
      <c r="T39" s="64"/>
      <c r="U39" s="64"/>
      <c r="V39" s="64"/>
    </row>
    <row r="40" spans="1:22" s="65" customFormat="1" ht="23.1" hidden="1" customHeight="1">
      <c r="A40" s="104" t="s">
        <v>11</v>
      </c>
      <c r="B40" s="105" t="e">
        <f>COUNTIF(#REF!,"도")</f>
        <v>#REF!</v>
      </c>
      <c r="C40" s="106" t="s">
        <v>5</v>
      </c>
      <c r="D40" s="107" t="e">
        <f>SUMIF(#REF!,"도",#REF!)</f>
        <v>#REF!</v>
      </c>
      <c r="E40" s="105" t="e">
        <f>COUNTIF(#REF!,"도국")</f>
        <v>#REF!</v>
      </c>
      <c r="F40" s="106" t="s">
        <v>5</v>
      </c>
      <c r="G40" s="107" t="e">
        <f>SUMIF(#REF!,"도국",#REF!)</f>
        <v>#REF!</v>
      </c>
      <c r="H40" s="105" t="e">
        <f>COUNTIF(#REF!,"도공")</f>
        <v>#REF!</v>
      </c>
      <c r="I40" s="106" t="s">
        <v>5</v>
      </c>
      <c r="J40" s="107" t="e">
        <f>SUMIF(#REF!,"도공",#REF!)</f>
        <v>#REF!</v>
      </c>
      <c r="K40" s="105" t="e">
        <f t="shared" si="2"/>
        <v>#REF!</v>
      </c>
      <c r="L40" s="106" t="s">
        <v>5</v>
      </c>
      <c r="M40" s="107" t="e">
        <f t="shared" si="3"/>
        <v>#REF!</v>
      </c>
      <c r="N40" s="108"/>
      <c r="O40" s="64"/>
      <c r="P40" s="64"/>
      <c r="Q40" s="64"/>
      <c r="R40" s="64"/>
      <c r="S40" s="64"/>
      <c r="T40" s="64"/>
      <c r="U40" s="64"/>
      <c r="V40" s="64"/>
    </row>
    <row r="41" spans="1:22" s="65" customFormat="1" ht="23.1" hidden="1" customHeight="1">
      <c r="A41" s="104" t="s">
        <v>13</v>
      </c>
      <c r="B41" s="105" t="e">
        <f>COUNTIF(#REF!,"구")</f>
        <v>#REF!</v>
      </c>
      <c r="C41" s="106" t="s">
        <v>5</v>
      </c>
      <c r="D41" s="107" t="e">
        <f>SUMIF(#REF!,"구",#REF!)</f>
        <v>#REF!</v>
      </c>
      <c r="E41" s="105" t="e">
        <f>COUNTIF(#REF!,"구국")</f>
        <v>#REF!</v>
      </c>
      <c r="F41" s="106" t="s">
        <v>5</v>
      </c>
      <c r="G41" s="107" t="e">
        <f>SUMIF(#REF!,"구국",#REF!)</f>
        <v>#REF!</v>
      </c>
      <c r="H41" s="105" t="e">
        <f>COUNTIF(#REF!,"구공")</f>
        <v>#REF!</v>
      </c>
      <c r="I41" s="106" t="s">
        <v>5</v>
      </c>
      <c r="J41" s="107" t="e">
        <f>SUMIF(#REF!,"구공",#REF!)</f>
        <v>#REF!</v>
      </c>
      <c r="K41" s="105" t="e">
        <f t="shared" si="2"/>
        <v>#REF!</v>
      </c>
      <c r="L41" s="106" t="s">
        <v>5</v>
      </c>
      <c r="M41" s="107" t="e">
        <f t="shared" si="3"/>
        <v>#REF!</v>
      </c>
      <c r="N41" s="108"/>
      <c r="O41" s="64"/>
      <c r="P41" s="64"/>
      <c r="Q41" s="64"/>
      <c r="R41" s="64"/>
      <c r="S41" s="64"/>
      <c r="T41" s="64"/>
      <c r="U41" s="64"/>
      <c r="V41" s="64"/>
    </row>
    <row r="42" spans="1:22" s="65" customFormat="1" ht="23.1" hidden="1" customHeight="1">
      <c r="A42" s="104" t="s">
        <v>12</v>
      </c>
      <c r="B42" s="105" t="e">
        <f>COUNTIF(#REF!,"천")</f>
        <v>#REF!</v>
      </c>
      <c r="C42" s="106" t="s">
        <v>5</v>
      </c>
      <c r="D42" s="107" t="e">
        <f>SUMIF(#REF!,"천",#REF!)</f>
        <v>#REF!</v>
      </c>
      <c r="E42" s="105" t="e">
        <f>COUNTIF(#REF!,"천국")</f>
        <v>#REF!</v>
      </c>
      <c r="F42" s="106" t="s">
        <v>5</v>
      </c>
      <c r="G42" s="107" t="e">
        <f>SUMIF(#REF!,"천국",#REF!)</f>
        <v>#REF!</v>
      </c>
      <c r="H42" s="105" t="e">
        <f>COUNTIF(#REF!,"천공")</f>
        <v>#REF!</v>
      </c>
      <c r="I42" s="106" t="s">
        <v>5</v>
      </c>
      <c r="J42" s="107" t="e">
        <f>SUMIF(#REF!,"천공",#REF!)</f>
        <v>#REF!</v>
      </c>
      <c r="K42" s="105" t="e">
        <f t="shared" si="2"/>
        <v>#REF!</v>
      </c>
      <c r="L42" s="106" t="s">
        <v>5</v>
      </c>
      <c r="M42" s="107" t="e">
        <f t="shared" si="3"/>
        <v>#REF!</v>
      </c>
      <c r="N42" s="108"/>
      <c r="O42" s="64"/>
      <c r="P42" s="64"/>
      <c r="Q42" s="64"/>
      <c r="R42" s="64"/>
      <c r="S42" s="64"/>
      <c r="T42" s="64"/>
      <c r="U42" s="64"/>
      <c r="V42" s="64"/>
    </row>
    <row r="43" spans="1:22" s="65" customFormat="1" ht="23.1" hidden="1" customHeight="1">
      <c r="A43" s="104" t="s">
        <v>15</v>
      </c>
      <c r="B43" s="105" t="e">
        <f>COUNTIF(#REF!,"유")</f>
        <v>#REF!</v>
      </c>
      <c r="C43" s="106" t="s">
        <v>5</v>
      </c>
      <c r="D43" s="107" t="e">
        <f>SUMIF(#REF!,"유",#REF!)</f>
        <v>#REF!</v>
      </c>
      <c r="E43" s="105" t="e">
        <f>COUNTIF(#REF!,"유국")</f>
        <v>#REF!</v>
      </c>
      <c r="F43" s="106" t="s">
        <v>5</v>
      </c>
      <c r="G43" s="107" t="e">
        <f>SUMIF(#REF!,"유국",#REF!)</f>
        <v>#REF!</v>
      </c>
      <c r="H43" s="105" t="e">
        <f>COUNTIF(#REF!,"유공")</f>
        <v>#REF!</v>
      </c>
      <c r="I43" s="106" t="s">
        <v>5</v>
      </c>
      <c r="J43" s="107" t="e">
        <f>SUMIF(#REF!,"유공",#REF!)</f>
        <v>#REF!</v>
      </c>
      <c r="K43" s="105" t="e">
        <f t="shared" si="2"/>
        <v>#REF!</v>
      </c>
      <c r="L43" s="106" t="s">
        <v>5</v>
      </c>
      <c r="M43" s="107" t="e">
        <f t="shared" si="3"/>
        <v>#REF!</v>
      </c>
      <c r="N43" s="108"/>
      <c r="O43" s="64"/>
      <c r="P43" s="64"/>
      <c r="Q43" s="64"/>
      <c r="R43" s="64"/>
      <c r="S43" s="64"/>
      <c r="T43" s="64"/>
      <c r="U43" s="64"/>
      <c r="V43" s="64"/>
    </row>
    <row r="44" spans="1:22" s="65" customFormat="1" ht="23.1" hidden="1" customHeight="1">
      <c r="A44" s="104" t="s">
        <v>14</v>
      </c>
      <c r="B44" s="105" t="e">
        <f>COUNTIF(#REF!,"제")</f>
        <v>#REF!</v>
      </c>
      <c r="C44" s="106" t="s">
        <v>5</v>
      </c>
      <c r="D44" s="107" t="e">
        <f>SUMIF(#REF!,"제",#REF!)</f>
        <v>#REF!</v>
      </c>
      <c r="E44" s="105" t="e">
        <f>COUNTIF(#REF!,"제국")</f>
        <v>#REF!</v>
      </c>
      <c r="F44" s="106" t="s">
        <v>5</v>
      </c>
      <c r="G44" s="107" t="e">
        <f>SUMIF(#REF!,"제국",#REF!)</f>
        <v>#REF!</v>
      </c>
      <c r="H44" s="105" t="e">
        <f>COUNTIF(#REF!,"제공")</f>
        <v>#REF!</v>
      </c>
      <c r="I44" s="106" t="s">
        <v>5</v>
      </c>
      <c r="J44" s="107" t="e">
        <f>SUMIF(#REF!,"제공",#REF!)</f>
        <v>#REF!</v>
      </c>
      <c r="K44" s="105" t="e">
        <f t="shared" si="2"/>
        <v>#REF!</v>
      </c>
      <c r="L44" s="106" t="s">
        <v>5</v>
      </c>
      <c r="M44" s="107" t="e">
        <f t="shared" si="3"/>
        <v>#REF!</v>
      </c>
      <c r="N44" s="108"/>
      <c r="O44" s="64"/>
      <c r="P44" s="64"/>
      <c r="Q44" s="64"/>
      <c r="R44" s="64"/>
      <c r="S44" s="64"/>
      <c r="T44" s="64"/>
      <c r="U44" s="64"/>
      <c r="V44" s="64"/>
    </row>
    <row r="45" spans="1:22" s="65" customFormat="1" ht="23.1" hidden="1" customHeight="1">
      <c r="A45" s="104" t="s">
        <v>16</v>
      </c>
      <c r="B45" s="105" t="e">
        <f>COUNTIF(#REF!,"과")</f>
        <v>#REF!</v>
      </c>
      <c r="C45" s="106" t="s">
        <v>5</v>
      </c>
      <c r="D45" s="107" t="e">
        <f>SUMIF(#REF!,"과",#REF!)</f>
        <v>#REF!</v>
      </c>
      <c r="E45" s="105" t="e">
        <f>COUNTIF(#REF!,"과국")</f>
        <v>#REF!</v>
      </c>
      <c r="F45" s="106" t="s">
        <v>5</v>
      </c>
      <c r="G45" s="107" t="e">
        <f>SUMIF(#REF!,"과국",#REF!)</f>
        <v>#REF!</v>
      </c>
      <c r="H45" s="105" t="e">
        <f>COUNTIF(#REF!,"과공")</f>
        <v>#REF!</v>
      </c>
      <c r="I45" s="106" t="s">
        <v>5</v>
      </c>
      <c r="J45" s="107" t="e">
        <f>SUMIF(#REF!,"과공",#REF!)</f>
        <v>#REF!</v>
      </c>
      <c r="K45" s="105" t="e">
        <f t="shared" si="2"/>
        <v>#REF!</v>
      </c>
      <c r="L45" s="106" t="s">
        <v>5</v>
      </c>
      <c r="M45" s="107" t="e">
        <f t="shared" si="3"/>
        <v>#REF!</v>
      </c>
      <c r="N45" s="108"/>
      <c r="O45" s="64"/>
      <c r="P45" s="64"/>
      <c r="Q45" s="64"/>
      <c r="R45" s="64"/>
      <c r="S45" s="64"/>
      <c r="T45" s="64"/>
      <c r="U45" s="64"/>
      <c r="V45" s="64"/>
    </row>
    <row r="46" spans="1:22" s="65" customFormat="1" ht="23.1" hidden="1" customHeight="1">
      <c r="A46" s="104" t="s">
        <v>21</v>
      </c>
      <c r="B46" s="105" t="e">
        <f>COUNTIF(#REF!,"장")</f>
        <v>#REF!</v>
      </c>
      <c r="C46" s="106" t="s">
        <v>5</v>
      </c>
      <c r="D46" s="107" t="e">
        <f>SUMIF(#REF!,"장",#REF!)</f>
        <v>#REF!</v>
      </c>
      <c r="E46" s="105" t="e">
        <f>COUNTIF(#REF!,"장국")</f>
        <v>#REF!</v>
      </c>
      <c r="F46" s="106" t="s">
        <v>5</v>
      </c>
      <c r="G46" s="107" t="e">
        <f>SUMIF(#REF!,"장국",#REF!)</f>
        <v>#REF!</v>
      </c>
      <c r="H46" s="105" t="e">
        <f>COUNTIF(#REF!,"장공")</f>
        <v>#REF!</v>
      </c>
      <c r="I46" s="106" t="s">
        <v>5</v>
      </c>
      <c r="J46" s="107" t="e">
        <f>SUMIF(#REF!,"장공",#REF!)</f>
        <v>#REF!</v>
      </c>
      <c r="K46" s="105" t="e">
        <f t="shared" si="2"/>
        <v>#REF!</v>
      </c>
      <c r="L46" s="106" t="s">
        <v>5</v>
      </c>
      <c r="M46" s="107" t="e">
        <f t="shared" si="3"/>
        <v>#REF!</v>
      </c>
      <c r="N46" s="108"/>
      <c r="O46" s="64"/>
      <c r="P46" s="64"/>
      <c r="Q46" s="64"/>
      <c r="R46" s="64"/>
      <c r="S46" s="64"/>
      <c r="T46" s="64"/>
      <c r="U46" s="64"/>
      <c r="V46" s="64"/>
    </row>
    <row r="47" spans="1:22" s="65" customFormat="1" ht="23.1" hidden="1" customHeight="1">
      <c r="A47" s="104" t="s">
        <v>18</v>
      </c>
      <c r="B47" s="105" t="e">
        <f>COUNTIF(#REF!,"목")</f>
        <v>#REF!</v>
      </c>
      <c r="C47" s="106" t="s">
        <v>5</v>
      </c>
      <c r="D47" s="107" t="e">
        <f>SUMIF(#REF!,"목",#REF!)</f>
        <v>#REF!</v>
      </c>
      <c r="E47" s="105" t="e">
        <f>COUNTIF(#REF!,"목국")</f>
        <v>#REF!</v>
      </c>
      <c r="F47" s="106" t="s">
        <v>5</v>
      </c>
      <c r="G47" s="107" t="e">
        <f>SUMIF(#REF!,"목국",#REF!)</f>
        <v>#REF!</v>
      </c>
      <c r="H47" s="105" t="e">
        <f>COUNTIF(#REF!,"목공")</f>
        <v>#REF!</v>
      </c>
      <c r="I47" s="106" t="s">
        <v>5</v>
      </c>
      <c r="J47" s="107" t="e">
        <f>SUMIF(#REF!,"목공",#REF!)</f>
        <v>#REF!</v>
      </c>
      <c r="K47" s="105" t="e">
        <f t="shared" si="2"/>
        <v>#REF!</v>
      </c>
      <c r="L47" s="106" t="s">
        <v>5</v>
      </c>
      <c r="M47" s="107" t="e">
        <f t="shared" si="3"/>
        <v>#REF!</v>
      </c>
      <c r="N47" s="108"/>
      <c r="O47" s="64"/>
      <c r="P47" s="64"/>
      <c r="Q47" s="64"/>
      <c r="R47" s="64"/>
      <c r="S47" s="64"/>
      <c r="T47" s="64"/>
      <c r="U47" s="64"/>
      <c r="V47" s="64"/>
    </row>
    <row r="48" spans="1:22" s="65" customFormat="1" ht="23.1" hidden="1" customHeight="1">
      <c r="A48" s="104" t="s">
        <v>23</v>
      </c>
      <c r="B48" s="105" t="e">
        <f>COUNTIF(#REF!,"학")</f>
        <v>#REF!</v>
      </c>
      <c r="C48" s="106" t="s">
        <v>5</v>
      </c>
      <c r="D48" s="107" t="e">
        <f>SUMIF(#REF!,"학",#REF!)</f>
        <v>#REF!</v>
      </c>
      <c r="E48" s="105" t="e">
        <f>COUNTIF(#REF!,"학국")</f>
        <v>#REF!</v>
      </c>
      <c r="F48" s="106" t="s">
        <v>5</v>
      </c>
      <c r="G48" s="107" t="e">
        <f>SUMIF(#REF!,"학국",#REF!)</f>
        <v>#REF!</v>
      </c>
      <c r="H48" s="105" t="e">
        <f>COUNTIF(#REF!,"학공")</f>
        <v>#REF!</v>
      </c>
      <c r="I48" s="106" t="s">
        <v>5</v>
      </c>
      <c r="J48" s="107" t="e">
        <f>SUMIF(#REF!,"학공",#REF!)</f>
        <v>#REF!</v>
      </c>
      <c r="K48" s="105" t="e">
        <f t="shared" si="2"/>
        <v>#REF!</v>
      </c>
      <c r="L48" s="106" t="s">
        <v>5</v>
      </c>
      <c r="M48" s="107" t="e">
        <f t="shared" si="3"/>
        <v>#REF!</v>
      </c>
      <c r="N48" s="108"/>
      <c r="O48" s="64"/>
      <c r="P48" s="64"/>
      <c r="Q48" s="64"/>
      <c r="R48" s="64"/>
      <c r="S48" s="64"/>
      <c r="T48" s="64"/>
      <c r="U48" s="64"/>
      <c r="V48" s="64"/>
    </row>
    <row r="49" spans="1:22" s="65" customFormat="1" ht="23.1" hidden="1" customHeight="1">
      <c r="A49" s="104" t="s">
        <v>41</v>
      </c>
      <c r="B49" s="105" t="e">
        <f>COUNTIF(#REF!,"철")</f>
        <v>#REF!</v>
      </c>
      <c r="C49" s="106" t="s">
        <v>5</v>
      </c>
      <c r="D49" s="107" t="e">
        <f>SUMIF(#REF!,"철",#REF!)</f>
        <v>#REF!</v>
      </c>
      <c r="E49" s="105" t="e">
        <f>COUNTIF(#REF!,"철국")</f>
        <v>#REF!</v>
      </c>
      <c r="F49" s="106" t="s">
        <v>5</v>
      </c>
      <c r="G49" s="107" t="e">
        <f>SUMIF(#REF!,"철국",#REF!)</f>
        <v>#REF!</v>
      </c>
      <c r="H49" s="105" t="e">
        <f>COUNTIF(#REF!,"철공")</f>
        <v>#REF!</v>
      </c>
      <c r="I49" s="106" t="s">
        <v>5</v>
      </c>
      <c r="J49" s="107" t="e">
        <f>SUMIF(#REF!,"철공",#REF!)</f>
        <v>#REF!</v>
      </c>
      <c r="K49" s="105" t="e">
        <f t="shared" si="2"/>
        <v>#REF!</v>
      </c>
      <c r="L49" s="106" t="s">
        <v>5</v>
      </c>
      <c r="M49" s="107" t="e">
        <f t="shared" si="3"/>
        <v>#REF!</v>
      </c>
      <c r="N49" s="108"/>
      <c r="O49" s="64"/>
      <c r="P49" s="64"/>
      <c r="Q49" s="64"/>
      <c r="R49" s="64"/>
      <c r="S49" s="64"/>
      <c r="T49" s="64"/>
      <c r="U49" s="64"/>
      <c r="V49" s="64"/>
    </row>
    <row r="50" spans="1:22" s="65" customFormat="1" ht="23.1" hidden="1" customHeight="1">
      <c r="A50" s="104" t="s">
        <v>17</v>
      </c>
      <c r="B50" s="105" t="e">
        <f>COUNTIF(#REF!,"묘")</f>
        <v>#REF!</v>
      </c>
      <c r="C50" s="106" t="s">
        <v>5</v>
      </c>
      <c r="D50" s="107" t="e">
        <f>SUMIF(#REF!,"묘",#REF!)</f>
        <v>#REF!</v>
      </c>
      <c r="E50" s="105" t="e">
        <f>COUNTIF(#REF!,"묘국")</f>
        <v>#REF!</v>
      </c>
      <c r="F50" s="106" t="s">
        <v>5</v>
      </c>
      <c r="G50" s="107" t="e">
        <f>SUMIF(#REF!,"묘국",#REF!)</f>
        <v>#REF!</v>
      </c>
      <c r="H50" s="105" t="e">
        <f>COUNTIF(#REF!,"묘공")</f>
        <v>#REF!</v>
      </c>
      <c r="I50" s="106" t="s">
        <v>5</v>
      </c>
      <c r="J50" s="107" t="e">
        <f>SUMIF(#REF!,"묘공",#REF!)</f>
        <v>#REF!</v>
      </c>
      <c r="K50" s="105" t="e">
        <f t="shared" si="2"/>
        <v>#REF!</v>
      </c>
      <c r="L50" s="106" t="s">
        <v>5</v>
      </c>
      <c r="M50" s="107" t="e">
        <f t="shared" si="3"/>
        <v>#REF!</v>
      </c>
      <c r="N50" s="108"/>
      <c r="O50" s="64"/>
      <c r="P50" s="64"/>
      <c r="Q50" s="64"/>
      <c r="R50" s="64"/>
      <c r="S50" s="64"/>
      <c r="T50" s="64"/>
      <c r="U50" s="64"/>
      <c r="V50" s="64"/>
    </row>
    <row r="51" spans="1:22" s="65" customFormat="1" ht="23.1" hidden="1" customHeight="1">
      <c r="A51" s="104" t="s">
        <v>20</v>
      </c>
      <c r="B51" s="105" t="e">
        <f>COUNTIF(#REF!,"수")</f>
        <v>#REF!</v>
      </c>
      <c r="C51" s="106" t="s">
        <v>5</v>
      </c>
      <c r="D51" s="107" t="e">
        <f>SUMIF(#REF!,"수",#REF!)</f>
        <v>#REF!</v>
      </c>
      <c r="E51" s="105" t="e">
        <f>COUNTIF(#REF!,"수국")</f>
        <v>#REF!</v>
      </c>
      <c r="F51" s="106" t="s">
        <v>5</v>
      </c>
      <c r="G51" s="107" t="e">
        <f>SUMIF(#REF!,"수국",#REF!)</f>
        <v>#REF!</v>
      </c>
      <c r="H51" s="105" t="e">
        <f>COUNTIF(#REF!,"수공")</f>
        <v>#REF!</v>
      </c>
      <c r="I51" s="106" t="s">
        <v>5</v>
      </c>
      <c r="J51" s="107" t="e">
        <f>SUMIF(#REF!,"수공",#REF!)</f>
        <v>#REF!</v>
      </c>
      <c r="K51" s="105" t="e">
        <f t="shared" si="2"/>
        <v>#REF!</v>
      </c>
      <c r="L51" s="106" t="s">
        <v>5</v>
      </c>
      <c r="M51" s="107" t="e">
        <f t="shared" si="3"/>
        <v>#REF!</v>
      </c>
      <c r="N51" s="108"/>
      <c r="O51" s="64"/>
      <c r="P51" s="64"/>
      <c r="Q51" s="64"/>
      <c r="R51" s="64"/>
      <c r="S51" s="64"/>
      <c r="T51" s="64"/>
      <c r="U51" s="64"/>
      <c r="V51" s="64"/>
    </row>
    <row r="52" spans="1:22" s="65" customFormat="1" ht="23.1" hidden="1" customHeight="1">
      <c r="A52" s="104" t="s">
        <v>19</v>
      </c>
      <c r="B52" s="105" t="e">
        <f>COUNTIF(#REF!,"잡")</f>
        <v>#REF!</v>
      </c>
      <c r="C52" s="106" t="s">
        <v>5</v>
      </c>
      <c r="D52" s="107" t="e">
        <f>SUMIF(#REF!,"잡",#REF!)</f>
        <v>#REF!</v>
      </c>
      <c r="E52" s="105" t="e">
        <f>COUNTIF(#REF!,"잡국")</f>
        <v>#REF!</v>
      </c>
      <c r="F52" s="106" t="s">
        <v>5</v>
      </c>
      <c r="G52" s="107" t="e">
        <f>SUMIF(#REF!,"잡국",#REF!)</f>
        <v>#REF!</v>
      </c>
      <c r="H52" s="105" t="e">
        <f>COUNTIF(#REF!,"잡공")</f>
        <v>#REF!</v>
      </c>
      <c r="I52" s="106" t="s">
        <v>5</v>
      </c>
      <c r="J52" s="107" t="e">
        <f>SUMIF(#REF!,"잡공",#REF!)</f>
        <v>#REF!</v>
      </c>
      <c r="K52" s="105" t="e">
        <f t="shared" si="2"/>
        <v>#REF!</v>
      </c>
      <c r="L52" s="106" t="s">
        <v>5</v>
      </c>
      <c r="M52" s="107" t="e">
        <f t="shared" si="3"/>
        <v>#REF!</v>
      </c>
      <c r="N52" s="108"/>
      <c r="O52" s="64"/>
      <c r="P52" s="64"/>
      <c r="Q52" s="64"/>
      <c r="R52" s="64"/>
      <c r="S52" s="64"/>
      <c r="T52" s="64"/>
      <c r="U52" s="64"/>
      <c r="V52" s="64"/>
    </row>
    <row r="53" spans="1:22" s="65" customFormat="1" ht="23.1" hidden="1" customHeight="1">
      <c r="A53" s="104" t="s">
        <v>42</v>
      </c>
      <c r="B53" s="105" t="e">
        <f>COUNTIF(#REF!,"종")</f>
        <v>#REF!</v>
      </c>
      <c r="C53" s="106" t="s">
        <v>5</v>
      </c>
      <c r="D53" s="107" t="e">
        <f>SUMIF(#REF!,"종",#REF!)</f>
        <v>#REF!</v>
      </c>
      <c r="E53" s="105" t="e">
        <f>COUNTIF(#REF!,"종국")</f>
        <v>#REF!</v>
      </c>
      <c r="F53" s="106" t="s">
        <v>5</v>
      </c>
      <c r="G53" s="107" t="e">
        <f>SUMIF(#REF!,"종국",#REF!)</f>
        <v>#REF!</v>
      </c>
      <c r="H53" s="105" t="e">
        <f>COUNTIF(#REF!,"종공")</f>
        <v>#REF!</v>
      </c>
      <c r="I53" s="106" t="s">
        <v>5</v>
      </c>
      <c r="J53" s="107" t="e">
        <f>SUMIF(#REF!,"종공",#REF!)</f>
        <v>#REF!</v>
      </c>
      <c r="K53" s="105" t="e">
        <f t="shared" si="2"/>
        <v>#REF!</v>
      </c>
      <c r="L53" s="106" t="s">
        <v>5</v>
      </c>
      <c r="M53" s="107" t="e">
        <f t="shared" si="3"/>
        <v>#REF!</v>
      </c>
      <c r="N53" s="108"/>
      <c r="O53" s="64"/>
      <c r="P53" s="64"/>
      <c r="Q53" s="64"/>
      <c r="R53" s="64"/>
      <c r="S53" s="64"/>
      <c r="T53" s="64"/>
      <c r="U53" s="64"/>
      <c r="V53" s="64"/>
    </row>
    <row r="54" spans="1:22" s="65" customFormat="1" ht="23.1" hidden="1" customHeight="1">
      <c r="A54" s="104" t="s">
        <v>43</v>
      </c>
      <c r="B54" s="105" t="e">
        <f>COUNTIF(#REF!,"염")</f>
        <v>#REF!</v>
      </c>
      <c r="C54" s="106" t="s">
        <v>5</v>
      </c>
      <c r="D54" s="107" t="e">
        <f>SUMIF(#REF!,"염",#REF!)</f>
        <v>#REF!</v>
      </c>
      <c r="E54" s="105" t="e">
        <f>COUNTIF(#REF!,"염국")</f>
        <v>#REF!</v>
      </c>
      <c r="F54" s="106" t="s">
        <v>5</v>
      </c>
      <c r="G54" s="107" t="e">
        <f>SUMIF(#REF!,"염국",#REF!)</f>
        <v>#REF!</v>
      </c>
      <c r="H54" s="105" t="e">
        <f>COUNTIF(#REF!,"염공")</f>
        <v>#REF!</v>
      </c>
      <c r="I54" s="106" t="s">
        <v>5</v>
      </c>
      <c r="J54" s="107" t="e">
        <f>SUMIF(#REF!,"염공",#REF!)</f>
        <v>#REF!</v>
      </c>
      <c r="K54" s="105" t="e">
        <f t="shared" si="2"/>
        <v>#REF!</v>
      </c>
      <c r="L54" s="106" t="s">
        <v>5</v>
      </c>
      <c r="M54" s="107" t="e">
        <f t="shared" si="3"/>
        <v>#REF!</v>
      </c>
      <c r="N54" s="108"/>
      <c r="O54" s="64"/>
      <c r="P54" s="64"/>
      <c r="Q54" s="64"/>
      <c r="R54" s="64"/>
      <c r="S54" s="64"/>
      <c r="T54" s="64"/>
      <c r="U54" s="64"/>
      <c r="V54" s="64"/>
    </row>
    <row r="55" spans="1:22" s="65" customFormat="1" ht="23.1" hidden="1" customHeight="1">
      <c r="A55" s="104" t="s">
        <v>44</v>
      </c>
      <c r="B55" s="105" t="e">
        <f>COUNTIF(#REF!,"공")</f>
        <v>#REF!</v>
      </c>
      <c r="C55" s="106" t="s">
        <v>5</v>
      </c>
      <c r="D55" s="107" t="e">
        <f>SUMIF(#REF!,"공",#REF!)</f>
        <v>#REF!</v>
      </c>
      <c r="E55" s="105" t="e">
        <f>COUNTIF(#REF!,"공국")</f>
        <v>#REF!</v>
      </c>
      <c r="F55" s="106" t="s">
        <v>5</v>
      </c>
      <c r="G55" s="107" t="e">
        <f>SUMIF(#REF!,"공국",#REF!)</f>
        <v>#REF!</v>
      </c>
      <c r="H55" s="105" t="e">
        <f>COUNTIF(#REF!,"공공")</f>
        <v>#REF!</v>
      </c>
      <c r="I55" s="106" t="s">
        <v>5</v>
      </c>
      <c r="J55" s="107" t="e">
        <f>SUMIF(#REF!,"공공",#REF!)</f>
        <v>#REF!</v>
      </c>
      <c r="K55" s="105" t="e">
        <f t="shared" si="2"/>
        <v>#REF!</v>
      </c>
      <c r="L55" s="106" t="s">
        <v>5</v>
      </c>
      <c r="M55" s="107" t="e">
        <f t="shared" si="3"/>
        <v>#REF!</v>
      </c>
      <c r="N55" s="108"/>
      <c r="O55" s="64"/>
      <c r="P55" s="64"/>
      <c r="Q55" s="64"/>
      <c r="R55" s="64"/>
      <c r="S55" s="64"/>
      <c r="T55" s="64"/>
      <c r="U55" s="64"/>
      <c r="V55" s="64"/>
    </row>
    <row r="56" spans="1:22" s="65" customFormat="1" ht="23.1" hidden="1" customHeight="1">
      <c r="A56" s="104" t="s">
        <v>45</v>
      </c>
      <c r="B56" s="105" t="e">
        <f>COUNTIF(#REF!,"체")</f>
        <v>#REF!</v>
      </c>
      <c r="C56" s="106" t="s">
        <v>5</v>
      </c>
      <c r="D56" s="107" t="e">
        <f>SUMIF(#REF!,"체",#REF!)</f>
        <v>#REF!</v>
      </c>
      <c r="E56" s="105" t="e">
        <f>COUNTIF(#REF!,"체국")</f>
        <v>#REF!</v>
      </c>
      <c r="F56" s="106" t="s">
        <v>5</v>
      </c>
      <c r="G56" s="107" t="e">
        <f>SUMIF(#REF!,"체국",#REF!)</f>
        <v>#REF!</v>
      </c>
      <c r="H56" s="105" t="e">
        <f>COUNTIF(#REF!,"체공")</f>
        <v>#REF!</v>
      </c>
      <c r="I56" s="106" t="s">
        <v>5</v>
      </c>
      <c r="J56" s="107" t="e">
        <f>SUMIF(#REF!,"체공",#REF!)</f>
        <v>#REF!</v>
      </c>
      <c r="K56" s="105" t="e">
        <f t="shared" si="2"/>
        <v>#REF!</v>
      </c>
      <c r="L56" s="106" t="s">
        <v>5</v>
      </c>
      <c r="M56" s="107" t="e">
        <f t="shared" si="3"/>
        <v>#REF!</v>
      </c>
      <c r="N56" s="108"/>
      <c r="O56" s="64"/>
      <c r="P56" s="64"/>
      <c r="Q56" s="64"/>
      <c r="R56" s="64"/>
      <c r="S56" s="64"/>
      <c r="T56" s="64"/>
      <c r="U56" s="64"/>
      <c r="V56" s="64"/>
    </row>
    <row r="57" spans="1:22" s="65" customFormat="1" ht="23.1" hidden="1" customHeight="1">
      <c r="A57" s="104" t="s">
        <v>46</v>
      </c>
      <c r="B57" s="105" t="e">
        <f>COUNTIF(#REF!,"원")</f>
        <v>#REF!</v>
      </c>
      <c r="C57" s="106" t="s">
        <v>5</v>
      </c>
      <c r="D57" s="107" t="e">
        <f>SUMIF(#REF!,"원",#REF!)</f>
        <v>#REF!</v>
      </c>
      <c r="E57" s="105" t="e">
        <f>COUNTIF(#REF!,"원국")</f>
        <v>#REF!</v>
      </c>
      <c r="F57" s="106" t="s">
        <v>5</v>
      </c>
      <c r="G57" s="107" t="e">
        <f>SUMIF(#REF!,"원국",#REF!)</f>
        <v>#REF!</v>
      </c>
      <c r="H57" s="105" t="e">
        <f>COUNTIF(#REF!,"원공")</f>
        <v>#REF!</v>
      </c>
      <c r="I57" s="106" t="s">
        <v>5</v>
      </c>
      <c r="J57" s="107" t="e">
        <f>SUMIF(#REF!,"원공",#REF!)</f>
        <v>#REF!</v>
      </c>
      <c r="K57" s="105" t="e">
        <f t="shared" si="2"/>
        <v>#REF!</v>
      </c>
      <c r="L57" s="106" t="s">
        <v>5</v>
      </c>
      <c r="M57" s="107" t="e">
        <f t="shared" si="3"/>
        <v>#REF!</v>
      </c>
      <c r="N57" s="108"/>
      <c r="O57" s="64"/>
      <c r="P57" s="64"/>
      <c r="Q57" s="64"/>
      <c r="R57" s="64"/>
      <c r="S57" s="64"/>
      <c r="T57" s="64"/>
      <c r="U57" s="64"/>
      <c r="V57" s="64"/>
    </row>
    <row r="58" spans="1:22" s="65" customFormat="1" ht="23.1" hidden="1" customHeight="1">
      <c r="A58" s="104" t="s">
        <v>56</v>
      </c>
      <c r="B58" s="105" t="e">
        <f>COUNTIF(#REF!,"주")</f>
        <v>#REF!</v>
      </c>
      <c r="C58" s="106" t="s">
        <v>5</v>
      </c>
      <c r="D58" s="107" t="e">
        <f>SUMIF(#REF!,"주",#REF!)</f>
        <v>#REF!</v>
      </c>
      <c r="E58" s="105" t="e">
        <f>COUNTIF(#REF!,"주국")</f>
        <v>#REF!</v>
      </c>
      <c r="F58" s="106" t="s">
        <v>5</v>
      </c>
      <c r="G58" s="107" t="e">
        <f>SUMIF(#REF!,"주국",#REF!)</f>
        <v>#REF!</v>
      </c>
      <c r="H58" s="105" t="e">
        <f>COUNTIF(#REF!,"주공")</f>
        <v>#REF!</v>
      </c>
      <c r="I58" s="106" t="s">
        <v>5</v>
      </c>
      <c r="J58" s="107" t="e">
        <f>SUMIF(#REF!,"주공",#REF!)</f>
        <v>#REF!</v>
      </c>
      <c r="K58" s="105" t="e">
        <f t="shared" si="2"/>
        <v>#REF!</v>
      </c>
      <c r="L58" s="106" t="s">
        <v>5</v>
      </c>
      <c r="M58" s="107" t="e">
        <f t="shared" si="3"/>
        <v>#REF!</v>
      </c>
      <c r="N58" s="108"/>
      <c r="O58" s="64"/>
      <c r="P58" s="64"/>
      <c r="Q58" s="64"/>
      <c r="R58" s="64"/>
      <c r="S58" s="64"/>
      <c r="T58" s="64"/>
      <c r="U58" s="64"/>
      <c r="V58" s="64"/>
    </row>
    <row r="59" spans="1:22" s="65" customFormat="1" ht="23.1" hidden="1" customHeight="1">
      <c r="A59" s="104" t="s">
        <v>57</v>
      </c>
      <c r="B59" s="105" t="e">
        <f>COUNTIF(#REF!,"창")</f>
        <v>#REF!</v>
      </c>
      <c r="C59" s="106" t="s">
        <v>5</v>
      </c>
      <c r="D59" s="107" t="e">
        <f>SUMIF(#REF!,"창",#REF!)</f>
        <v>#REF!</v>
      </c>
      <c r="E59" s="105" t="e">
        <f>COUNTIF(#REF!,"창국")</f>
        <v>#REF!</v>
      </c>
      <c r="F59" s="106" t="s">
        <v>5</v>
      </c>
      <c r="G59" s="107" t="e">
        <f>SUMIF(#REF!,"창국",#REF!)</f>
        <v>#REF!</v>
      </c>
      <c r="H59" s="105" t="e">
        <f>COUNTIF(#REF!,"창공")</f>
        <v>#REF!</v>
      </c>
      <c r="I59" s="106" t="s">
        <v>5</v>
      </c>
      <c r="J59" s="107" t="e">
        <f>SUMIF(#REF!,"창공",#REF!)</f>
        <v>#REF!</v>
      </c>
      <c r="K59" s="105" t="e">
        <f t="shared" si="2"/>
        <v>#REF!</v>
      </c>
      <c r="L59" s="106" t="s">
        <v>5</v>
      </c>
      <c r="M59" s="107" t="e">
        <f t="shared" si="3"/>
        <v>#REF!</v>
      </c>
      <c r="N59" s="108"/>
      <c r="O59" s="64"/>
      <c r="P59" s="64"/>
      <c r="Q59" s="64"/>
      <c r="R59" s="64"/>
      <c r="S59" s="64"/>
      <c r="T59" s="64"/>
      <c r="U59" s="64"/>
      <c r="V59" s="64"/>
    </row>
    <row r="60" spans="1:22" s="65" customFormat="1" ht="23.1" hidden="1" customHeight="1">
      <c r="A60" s="104" t="s">
        <v>24</v>
      </c>
      <c r="B60" s="105" t="e">
        <f>COUNTIF(#REF!," ")</f>
        <v>#REF!</v>
      </c>
      <c r="C60" s="106" t="s">
        <v>5</v>
      </c>
      <c r="D60" s="107" t="e">
        <f>SUMIF(#REF!," ",#REF!)</f>
        <v>#REF!</v>
      </c>
      <c r="E60" s="105" t="e">
        <f>COUNTIF(#REF!," 국")</f>
        <v>#REF!</v>
      </c>
      <c r="F60" s="106" t="s">
        <v>5</v>
      </c>
      <c r="G60" s="107" t="e">
        <f>SUMIF(#REF!," 국",#REF!)</f>
        <v>#REF!</v>
      </c>
      <c r="H60" s="105" t="e">
        <f>COUNTIF(#REF!," 공")</f>
        <v>#REF!</v>
      </c>
      <c r="I60" s="106" t="s">
        <v>5</v>
      </c>
      <c r="J60" s="107" t="e">
        <f>SUMIF(#REF!," 공",#REF!)</f>
        <v>#REF!</v>
      </c>
      <c r="K60" s="105" t="e">
        <f t="shared" si="2"/>
        <v>#REF!</v>
      </c>
      <c r="L60" s="106" t="s">
        <v>5</v>
      </c>
      <c r="M60" s="107" t="e">
        <f t="shared" si="3"/>
        <v>#REF!</v>
      </c>
      <c r="N60" s="108"/>
      <c r="O60" s="64"/>
      <c r="P60" s="64"/>
      <c r="Q60" s="64"/>
      <c r="R60" s="64"/>
      <c r="S60" s="64"/>
      <c r="T60" s="64"/>
      <c r="U60" s="64"/>
      <c r="V60" s="64"/>
    </row>
    <row r="61" spans="1:22" s="59" customFormat="1" ht="20.100000000000001" hidden="1" customHeight="1">
      <c r="A61" s="56" t="e">
        <f>IF(EXACT(O65,O66),,"검산확인요!!!")</f>
        <v>#REF!</v>
      </c>
      <c r="B61" s="57"/>
      <c r="C61" s="57"/>
      <c r="D61" s="95"/>
      <c r="E61" s="57"/>
      <c r="F61" s="57"/>
      <c r="G61" s="95"/>
      <c r="H61" s="57"/>
      <c r="I61" s="57"/>
      <c r="J61" s="95"/>
      <c r="K61" s="86" t="e">
        <f>IF(ISBLANK(#REF!),,#REF!)</f>
        <v>#REF!</v>
      </c>
      <c r="L61" s="58"/>
      <c r="M61" s="97"/>
      <c r="N61" s="53"/>
    </row>
    <row r="62" spans="1:22" s="59" customFormat="1" ht="9.9499999999999993" hidden="1" customHeight="1">
      <c r="A62" s="56"/>
      <c r="B62" s="57"/>
      <c r="C62" s="57"/>
      <c r="D62" s="95"/>
      <c r="E62" s="57"/>
      <c r="F62" s="57"/>
      <c r="G62" s="95"/>
      <c r="H62" s="57"/>
      <c r="I62" s="57"/>
      <c r="J62" s="95"/>
      <c r="K62" s="57"/>
      <c r="L62" s="57"/>
      <c r="M62" s="95"/>
      <c r="N62" s="57"/>
    </row>
    <row r="63" spans="1:22" s="65" customFormat="1" ht="27.95" hidden="1" customHeight="1">
      <c r="A63" s="60" t="s">
        <v>2</v>
      </c>
      <c r="B63" s="101" t="s">
        <v>3</v>
      </c>
      <c r="C63" s="102"/>
      <c r="D63" s="103"/>
      <c r="E63" s="101" t="s">
        <v>47</v>
      </c>
      <c r="F63" s="102"/>
      <c r="G63" s="103"/>
      <c r="H63" s="101" t="s">
        <v>58</v>
      </c>
      <c r="I63" s="102"/>
      <c r="J63" s="103"/>
      <c r="K63" s="101" t="s">
        <v>48</v>
      </c>
      <c r="L63" s="102"/>
      <c r="M63" s="103"/>
      <c r="N63" s="63" t="s">
        <v>22</v>
      </c>
      <c r="O63" s="64"/>
      <c r="S63" s="64"/>
      <c r="T63" s="64"/>
      <c r="U63" s="64"/>
      <c r="V63" s="64"/>
    </row>
    <row r="64" spans="1:22" s="65" customFormat="1" ht="27.95" hidden="1" customHeight="1">
      <c r="A64" s="66"/>
      <c r="B64" s="98" t="s">
        <v>4</v>
      </c>
      <c r="C64" s="99" t="s">
        <v>5</v>
      </c>
      <c r="D64" s="100" t="s">
        <v>49</v>
      </c>
      <c r="E64" s="98" t="s">
        <v>4</v>
      </c>
      <c r="F64" s="99" t="s">
        <v>5</v>
      </c>
      <c r="G64" s="100" t="s">
        <v>49</v>
      </c>
      <c r="H64" s="98" t="s">
        <v>4</v>
      </c>
      <c r="I64" s="99" t="s">
        <v>5</v>
      </c>
      <c r="J64" s="100" t="s">
        <v>49</v>
      </c>
      <c r="K64" s="98" t="s">
        <v>4</v>
      </c>
      <c r="L64" s="99" t="s">
        <v>5</v>
      </c>
      <c r="M64" s="100" t="s">
        <v>49</v>
      </c>
      <c r="N64" s="69"/>
      <c r="P64" s="64"/>
      <c r="Q64" s="70" t="s">
        <v>50</v>
      </c>
      <c r="R64" s="70" t="s">
        <v>51</v>
      </c>
      <c r="S64" s="70" t="s">
        <v>52</v>
      </c>
      <c r="T64" s="70" t="s">
        <v>53</v>
      </c>
      <c r="U64" s="64"/>
      <c r="V64" s="64"/>
    </row>
    <row r="65" spans="1:22" s="65" customFormat="1" ht="23.1" hidden="1" customHeight="1">
      <c r="A65" s="104" t="s">
        <v>3</v>
      </c>
      <c r="B65" s="105" t="e">
        <f>SUM(B66:B90)</f>
        <v>#REF!</v>
      </c>
      <c r="C65" s="106" t="s">
        <v>5</v>
      </c>
      <c r="D65" s="107" t="e">
        <f>SUM(D66:D90)</f>
        <v>#REF!</v>
      </c>
      <c r="E65" s="105" t="e">
        <f>SUM(E66:E90)</f>
        <v>#REF!</v>
      </c>
      <c r="F65" s="106" t="s">
        <v>5</v>
      </c>
      <c r="G65" s="107" t="e">
        <f>SUM(G66:G90)</f>
        <v>#REF!</v>
      </c>
      <c r="H65" s="105" t="e">
        <f>SUM(H66:H90)</f>
        <v>#REF!</v>
      </c>
      <c r="I65" s="106" t="s">
        <v>5</v>
      </c>
      <c r="J65" s="107" t="e">
        <f>SUM(J66:J90)</f>
        <v>#REF!</v>
      </c>
      <c r="K65" s="105" t="e">
        <f>SUM(K66:K90)</f>
        <v>#REF!</v>
      </c>
      <c r="L65" s="106" t="s">
        <v>5</v>
      </c>
      <c r="M65" s="107" t="e">
        <f>SUM(M66:M90)</f>
        <v>#REF!</v>
      </c>
      <c r="N65" s="108"/>
      <c r="O65" s="64" t="e">
        <f>IF(EXACT(Q65,T65),"맞음","틀림")</f>
        <v>#REF!</v>
      </c>
      <c r="P65" s="64" t="s">
        <v>4</v>
      </c>
      <c r="Q65" s="74" t="e">
        <f>SUM(B66:B90)</f>
        <v>#REF!</v>
      </c>
      <c r="R65" s="74" t="e">
        <f>SUM(H66:H90)</f>
        <v>#REF!</v>
      </c>
      <c r="S65" s="74" t="e">
        <f>SUM(K66:K90)</f>
        <v>#REF!</v>
      </c>
      <c r="T65" s="74" t="e">
        <f>K65+H65</f>
        <v>#REF!</v>
      </c>
      <c r="U65" s="64"/>
      <c r="V65" s="64"/>
    </row>
    <row r="66" spans="1:22" s="65" customFormat="1" ht="23.1" hidden="1" customHeight="1">
      <c r="A66" s="104" t="s">
        <v>7</v>
      </c>
      <c r="B66" s="105" t="e">
        <f>COUNTIF(#REF!,"전")</f>
        <v>#REF!</v>
      </c>
      <c r="C66" s="106" t="s">
        <v>5</v>
      </c>
      <c r="D66" s="107" t="e">
        <f>SUMIF(#REF!,"전",#REF!)</f>
        <v>#REF!</v>
      </c>
      <c r="E66" s="105" t="e">
        <f>COUNTIF(#REF!,"전국")</f>
        <v>#REF!</v>
      </c>
      <c r="F66" s="106" t="s">
        <v>5</v>
      </c>
      <c r="G66" s="107" t="e">
        <f>SUMIF(#REF!,"전국",#REF!)</f>
        <v>#REF!</v>
      </c>
      <c r="H66" s="105" t="e">
        <f>COUNTIF(#REF!,"전공")</f>
        <v>#REF!</v>
      </c>
      <c r="I66" s="106" t="s">
        <v>5</v>
      </c>
      <c r="J66" s="107" t="e">
        <f>SUMIF(#REF!,"전공",#REF!)</f>
        <v>#REF!</v>
      </c>
      <c r="K66" s="105" t="e">
        <f t="shared" ref="K66:K90" si="4">B66-E66-H66</f>
        <v>#REF!</v>
      </c>
      <c r="L66" s="106" t="s">
        <v>5</v>
      </c>
      <c r="M66" s="107" t="e">
        <f t="shared" ref="M66:M90" si="5">D66-G66-J66</f>
        <v>#REF!</v>
      </c>
      <c r="N66" s="108"/>
      <c r="O66" s="64" t="e">
        <f>IF(EXACT(Q66,T66),"맞음","틀림")</f>
        <v>#REF!</v>
      </c>
      <c r="P66" s="64" t="s">
        <v>54</v>
      </c>
      <c r="Q66" s="74" t="e">
        <f>SUM(D66:D90)</f>
        <v>#REF!</v>
      </c>
      <c r="R66" s="74" t="e">
        <f>SUM(J66:J90)</f>
        <v>#REF!</v>
      </c>
      <c r="S66" s="74" t="e">
        <f>SUM(M66:M90)</f>
        <v>#REF!</v>
      </c>
      <c r="T66" s="74" t="e">
        <f>J65+M65</f>
        <v>#REF!</v>
      </c>
      <c r="U66" s="64"/>
      <c r="V66" s="64"/>
    </row>
    <row r="67" spans="1:22" s="65" customFormat="1" ht="23.1" hidden="1" customHeight="1">
      <c r="A67" s="104" t="s">
        <v>8</v>
      </c>
      <c r="B67" s="105" t="e">
        <f>COUNTIF(#REF!,"답")</f>
        <v>#REF!</v>
      </c>
      <c r="C67" s="106" t="s">
        <v>5</v>
      </c>
      <c r="D67" s="107" t="e">
        <f>SUMIF(#REF!,"답",#REF!)</f>
        <v>#REF!</v>
      </c>
      <c r="E67" s="105" t="e">
        <f>COUNTIF(#REF!,"답국")</f>
        <v>#REF!</v>
      </c>
      <c r="F67" s="106" t="s">
        <v>5</v>
      </c>
      <c r="G67" s="107" t="e">
        <f>SUMIF(#REF!,"답국",#REF!)</f>
        <v>#REF!</v>
      </c>
      <c r="H67" s="105" t="e">
        <f>COUNTIF(#REF!,"답공")</f>
        <v>#REF!</v>
      </c>
      <c r="I67" s="106" t="s">
        <v>5</v>
      </c>
      <c r="J67" s="107" t="e">
        <f>SUMIF(#REF!,"답공",#REF!)</f>
        <v>#REF!</v>
      </c>
      <c r="K67" s="105" t="e">
        <f t="shared" si="4"/>
        <v>#REF!</v>
      </c>
      <c r="L67" s="106" t="s">
        <v>5</v>
      </c>
      <c r="M67" s="107" t="e">
        <f t="shared" si="5"/>
        <v>#REF!</v>
      </c>
      <c r="N67" s="108"/>
      <c r="Q67" s="64"/>
      <c r="S67" s="64"/>
      <c r="U67" s="64"/>
      <c r="V67" s="64"/>
    </row>
    <row r="68" spans="1:22" s="65" customFormat="1" ht="23.1" hidden="1" customHeight="1">
      <c r="A68" s="109" t="s">
        <v>9</v>
      </c>
      <c r="B68" s="105" t="e">
        <f>COUNTIF(#REF!,"임")</f>
        <v>#REF!</v>
      </c>
      <c r="C68" s="106" t="s">
        <v>5</v>
      </c>
      <c r="D68" s="107" t="e">
        <f>SUMIF(#REF!,"임",#REF!)</f>
        <v>#REF!</v>
      </c>
      <c r="E68" s="105" t="e">
        <f>COUNTIF(#REF!,"임국")</f>
        <v>#REF!</v>
      </c>
      <c r="F68" s="106" t="s">
        <v>5</v>
      </c>
      <c r="G68" s="107" t="e">
        <f>SUMIF(#REF!,"임국",#REF!)</f>
        <v>#REF!</v>
      </c>
      <c r="H68" s="105" t="e">
        <f>COUNTIF(#REF!,"임공")</f>
        <v>#REF!</v>
      </c>
      <c r="I68" s="106" t="s">
        <v>5</v>
      </c>
      <c r="J68" s="107" t="e">
        <f>SUMIF(#REF!,"임공",#REF!)</f>
        <v>#REF!</v>
      </c>
      <c r="K68" s="105" t="e">
        <f t="shared" si="4"/>
        <v>#REF!</v>
      </c>
      <c r="L68" s="106" t="s">
        <v>5</v>
      </c>
      <c r="M68" s="107" t="e">
        <f t="shared" si="5"/>
        <v>#REF!</v>
      </c>
      <c r="N68" s="108"/>
      <c r="Q68" s="64"/>
      <c r="S68" s="64"/>
      <c r="U68" s="64"/>
      <c r="V68" s="64"/>
    </row>
    <row r="69" spans="1:22" s="65" customFormat="1" ht="23.1" hidden="1" customHeight="1">
      <c r="A69" s="104" t="s">
        <v>10</v>
      </c>
      <c r="B69" s="105" t="e">
        <f>COUNTIF(#REF!,"대")</f>
        <v>#REF!</v>
      </c>
      <c r="C69" s="106" t="s">
        <v>5</v>
      </c>
      <c r="D69" s="107" t="e">
        <f>SUMIF(#REF!,"대",#REF!)</f>
        <v>#REF!</v>
      </c>
      <c r="E69" s="105" t="e">
        <f>COUNTIF(#REF!,"대국")</f>
        <v>#REF!</v>
      </c>
      <c r="F69" s="106" t="s">
        <v>5</v>
      </c>
      <c r="G69" s="107" t="e">
        <f>SUMIF(#REF!,"대국",#REF!)</f>
        <v>#REF!</v>
      </c>
      <c r="H69" s="105" t="e">
        <f>COUNTIF(#REF!,"대공")</f>
        <v>#REF!</v>
      </c>
      <c r="I69" s="106" t="s">
        <v>5</v>
      </c>
      <c r="J69" s="107" t="e">
        <f>SUMIF(#REF!,"대공",#REF!)</f>
        <v>#REF!</v>
      </c>
      <c r="K69" s="105" t="e">
        <f t="shared" si="4"/>
        <v>#REF!</v>
      </c>
      <c r="L69" s="106" t="s">
        <v>5</v>
      </c>
      <c r="M69" s="107" t="e">
        <f t="shared" si="5"/>
        <v>#REF!</v>
      </c>
      <c r="N69" s="108"/>
      <c r="O69" s="64"/>
      <c r="P69" s="64"/>
      <c r="Q69" s="64"/>
      <c r="R69" s="64"/>
      <c r="S69" s="64"/>
      <c r="T69" s="64"/>
      <c r="U69" s="64"/>
      <c r="V69" s="64"/>
    </row>
    <row r="70" spans="1:22" s="65" customFormat="1" ht="23.1" hidden="1" customHeight="1">
      <c r="A70" s="104" t="s">
        <v>11</v>
      </c>
      <c r="B70" s="105" t="e">
        <f>COUNTIF(#REF!,"도")</f>
        <v>#REF!</v>
      </c>
      <c r="C70" s="106" t="s">
        <v>5</v>
      </c>
      <c r="D70" s="107" t="e">
        <f>SUMIF(#REF!,"도",#REF!)</f>
        <v>#REF!</v>
      </c>
      <c r="E70" s="105" t="e">
        <f>COUNTIF(#REF!,"도국")</f>
        <v>#REF!</v>
      </c>
      <c r="F70" s="106" t="s">
        <v>5</v>
      </c>
      <c r="G70" s="107" t="e">
        <f>SUMIF(#REF!,"도국",#REF!)</f>
        <v>#REF!</v>
      </c>
      <c r="H70" s="105" t="e">
        <f>COUNTIF(#REF!,"도공")</f>
        <v>#REF!</v>
      </c>
      <c r="I70" s="106" t="s">
        <v>5</v>
      </c>
      <c r="J70" s="107" t="e">
        <f>SUMIF(#REF!,"도공",#REF!)</f>
        <v>#REF!</v>
      </c>
      <c r="K70" s="105" t="e">
        <f t="shared" si="4"/>
        <v>#REF!</v>
      </c>
      <c r="L70" s="106" t="s">
        <v>5</v>
      </c>
      <c r="M70" s="107" t="e">
        <f t="shared" si="5"/>
        <v>#REF!</v>
      </c>
      <c r="N70" s="108"/>
      <c r="O70" s="64"/>
      <c r="P70" s="64"/>
      <c r="Q70" s="64"/>
      <c r="R70" s="64"/>
      <c r="S70" s="64"/>
      <c r="T70" s="64"/>
      <c r="U70" s="64"/>
      <c r="V70" s="64"/>
    </row>
    <row r="71" spans="1:22" s="65" customFormat="1" ht="23.1" hidden="1" customHeight="1">
      <c r="A71" s="104" t="s">
        <v>13</v>
      </c>
      <c r="B71" s="105" t="e">
        <f>COUNTIF(#REF!,"구")</f>
        <v>#REF!</v>
      </c>
      <c r="C71" s="106" t="s">
        <v>5</v>
      </c>
      <c r="D71" s="107" t="e">
        <f>SUMIF(#REF!,"구",#REF!)</f>
        <v>#REF!</v>
      </c>
      <c r="E71" s="105" t="e">
        <f>COUNTIF(#REF!,"구국")</f>
        <v>#REF!</v>
      </c>
      <c r="F71" s="106" t="s">
        <v>5</v>
      </c>
      <c r="G71" s="107" t="e">
        <f>SUMIF(#REF!,"구국",#REF!)</f>
        <v>#REF!</v>
      </c>
      <c r="H71" s="105" t="e">
        <f>COUNTIF(#REF!,"구공")</f>
        <v>#REF!</v>
      </c>
      <c r="I71" s="106" t="s">
        <v>5</v>
      </c>
      <c r="J71" s="107" t="e">
        <f>SUMIF(#REF!,"구공",#REF!)</f>
        <v>#REF!</v>
      </c>
      <c r="K71" s="105" t="e">
        <f t="shared" si="4"/>
        <v>#REF!</v>
      </c>
      <c r="L71" s="106" t="s">
        <v>5</v>
      </c>
      <c r="M71" s="107" t="e">
        <f t="shared" si="5"/>
        <v>#REF!</v>
      </c>
      <c r="N71" s="108"/>
      <c r="O71" s="64"/>
      <c r="P71" s="64"/>
      <c r="Q71" s="64"/>
      <c r="R71" s="64"/>
      <c r="S71" s="64"/>
      <c r="T71" s="64"/>
      <c r="U71" s="64"/>
      <c r="V71" s="64"/>
    </row>
    <row r="72" spans="1:22" s="65" customFormat="1" ht="23.1" hidden="1" customHeight="1">
      <c r="A72" s="104" t="s">
        <v>12</v>
      </c>
      <c r="B72" s="105" t="e">
        <f>COUNTIF(#REF!,"천")</f>
        <v>#REF!</v>
      </c>
      <c r="C72" s="106" t="s">
        <v>5</v>
      </c>
      <c r="D72" s="107" t="e">
        <f>SUMIF(#REF!,"천",#REF!)</f>
        <v>#REF!</v>
      </c>
      <c r="E72" s="105" t="e">
        <f>COUNTIF(#REF!,"천국")</f>
        <v>#REF!</v>
      </c>
      <c r="F72" s="106" t="s">
        <v>5</v>
      </c>
      <c r="G72" s="107" t="e">
        <f>SUMIF(#REF!,"천국",#REF!)</f>
        <v>#REF!</v>
      </c>
      <c r="H72" s="105" t="e">
        <f>COUNTIF(#REF!,"천공")</f>
        <v>#REF!</v>
      </c>
      <c r="I72" s="106" t="s">
        <v>5</v>
      </c>
      <c r="J72" s="107" t="e">
        <f>SUMIF(#REF!,"천공",#REF!)</f>
        <v>#REF!</v>
      </c>
      <c r="K72" s="105" t="e">
        <f t="shared" si="4"/>
        <v>#REF!</v>
      </c>
      <c r="L72" s="106" t="s">
        <v>5</v>
      </c>
      <c r="M72" s="107" t="e">
        <f t="shared" si="5"/>
        <v>#REF!</v>
      </c>
      <c r="N72" s="108"/>
      <c r="O72" s="64"/>
      <c r="P72" s="64"/>
      <c r="Q72" s="64"/>
      <c r="R72" s="64"/>
      <c r="S72" s="64"/>
      <c r="T72" s="64"/>
      <c r="U72" s="64"/>
      <c r="V72" s="64"/>
    </row>
    <row r="73" spans="1:22" s="65" customFormat="1" ht="23.1" hidden="1" customHeight="1">
      <c r="A73" s="104" t="s">
        <v>15</v>
      </c>
      <c r="B73" s="105" t="e">
        <f>COUNTIF(#REF!,"유")</f>
        <v>#REF!</v>
      </c>
      <c r="C73" s="106" t="s">
        <v>5</v>
      </c>
      <c r="D73" s="107" t="e">
        <f>SUMIF(#REF!,"유",#REF!)</f>
        <v>#REF!</v>
      </c>
      <c r="E73" s="105" t="e">
        <f>COUNTIF(#REF!,"유국")</f>
        <v>#REF!</v>
      </c>
      <c r="F73" s="106" t="s">
        <v>5</v>
      </c>
      <c r="G73" s="107" t="e">
        <f>SUMIF(#REF!,"유국",#REF!)</f>
        <v>#REF!</v>
      </c>
      <c r="H73" s="105" t="e">
        <f>COUNTIF(#REF!,"유공")</f>
        <v>#REF!</v>
      </c>
      <c r="I73" s="106" t="s">
        <v>5</v>
      </c>
      <c r="J73" s="107" t="e">
        <f>SUMIF(#REF!,"유공",#REF!)</f>
        <v>#REF!</v>
      </c>
      <c r="K73" s="105" t="e">
        <f t="shared" si="4"/>
        <v>#REF!</v>
      </c>
      <c r="L73" s="106" t="s">
        <v>5</v>
      </c>
      <c r="M73" s="107" t="e">
        <f t="shared" si="5"/>
        <v>#REF!</v>
      </c>
      <c r="N73" s="108"/>
      <c r="O73" s="64"/>
      <c r="P73" s="64"/>
      <c r="Q73" s="64"/>
      <c r="R73" s="64"/>
      <c r="S73" s="64"/>
      <c r="T73" s="64"/>
      <c r="U73" s="64"/>
      <c r="V73" s="64"/>
    </row>
    <row r="74" spans="1:22" s="65" customFormat="1" ht="23.1" hidden="1" customHeight="1">
      <c r="A74" s="104" t="s">
        <v>14</v>
      </c>
      <c r="B74" s="105" t="e">
        <f>COUNTIF(#REF!,"제")</f>
        <v>#REF!</v>
      </c>
      <c r="C74" s="106" t="s">
        <v>5</v>
      </c>
      <c r="D74" s="107" t="e">
        <f>SUMIF(#REF!,"제",#REF!)</f>
        <v>#REF!</v>
      </c>
      <c r="E74" s="105" t="e">
        <f>COUNTIF(#REF!,"제국")</f>
        <v>#REF!</v>
      </c>
      <c r="F74" s="106" t="s">
        <v>5</v>
      </c>
      <c r="G74" s="107" t="e">
        <f>SUMIF(#REF!,"제국",#REF!)</f>
        <v>#REF!</v>
      </c>
      <c r="H74" s="105" t="e">
        <f>COUNTIF(#REF!,"제공")</f>
        <v>#REF!</v>
      </c>
      <c r="I74" s="106" t="s">
        <v>5</v>
      </c>
      <c r="J74" s="107" t="e">
        <f>SUMIF(#REF!,"제공",#REF!)</f>
        <v>#REF!</v>
      </c>
      <c r="K74" s="105" t="e">
        <f t="shared" si="4"/>
        <v>#REF!</v>
      </c>
      <c r="L74" s="106" t="s">
        <v>5</v>
      </c>
      <c r="M74" s="107" t="e">
        <f t="shared" si="5"/>
        <v>#REF!</v>
      </c>
      <c r="N74" s="108"/>
      <c r="O74" s="64"/>
      <c r="P74" s="64"/>
      <c r="Q74" s="64"/>
      <c r="R74" s="64"/>
      <c r="S74" s="64"/>
      <c r="T74" s="64"/>
      <c r="U74" s="64"/>
      <c r="V74" s="64"/>
    </row>
    <row r="75" spans="1:22" s="65" customFormat="1" ht="23.1" hidden="1" customHeight="1">
      <c r="A75" s="104" t="s">
        <v>16</v>
      </c>
      <c r="B75" s="105" t="e">
        <f>COUNTIF(#REF!,"과")</f>
        <v>#REF!</v>
      </c>
      <c r="C75" s="106" t="s">
        <v>5</v>
      </c>
      <c r="D75" s="107" t="e">
        <f>SUMIF(#REF!,"과",#REF!)</f>
        <v>#REF!</v>
      </c>
      <c r="E75" s="105" t="e">
        <f>COUNTIF(#REF!,"과국")</f>
        <v>#REF!</v>
      </c>
      <c r="F75" s="106" t="s">
        <v>5</v>
      </c>
      <c r="G75" s="107" t="e">
        <f>SUMIF(#REF!,"과국",#REF!)</f>
        <v>#REF!</v>
      </c>
      <c r="H75" s="105" t="e">
        <f>COUNTIF(#REF!,"과공")</f>
        <v>#REF!</v>
      </c>
      <c r="I75" s="106" t="s">
        <v>5</v>
      </c>
      <c r="J75" s="107" t="e">
        <f>SUMIF(#REF!,"과공",#REF!)</f>
        <v>#REF!</v>
      </c>
      <c r="K75" s="105" t="e">
        <f t="shared" si="4"/>
        <v>#REF!</v>
      </c>
      <c r="L75" s="106" t="s">
        <v>5</v>
      </c>
      <c r="M75" s="107" t="e">
        <f t="shared" si="5"/>
        <v>#REF!</v>
      </c>
      <c r="N75" s="108"/>
      <c r="O75" s="64"/>
      <c r="P75" s="64"/>
      <c r="Q75" s="64"/>
      <c r="R75" s="64"/>
      <c r="S75" s="64"/>
      <c r="T75" s="64"/>
      <c r="U75" s="64"/>
      <c r="V75" s="64"/>
    </row>
    <row r="76" spans="1:22" s="65" customFormat="1" ht="23.1" hidden="1" customHeight="1">
      <c r="A76" s="104" t="s">
        <v>21</v>
      </c>
      <c r="B76" s="105" t="e">
        <f>COUNTIF(#REF!,"장")</f>
        <v>#REF!</v>
      </c>
      <c r="C76" s="106" t="s">
        <v>5</v>
      </c>
      <c r="D76" s="107" t="e">
        <f>SUMIF(#REF!,"장",#REF!)</f>
        <v>#REF!</v>
      </c>
      <c r="E76" s="105" t="e">
        <f>COUNTIF(#REF!,"장국")</f>
        <v>#REF!</v>
      </c>
      <c r="F76" s="106" t="s">
        <v>5</v>
      </c>
      <c r="G76" s="107" t="e">
        <f>SUMIF(#REF!,"장국",#REF!)</f>
        <v>#REF!</v>
      </c>
      <c r="H76" s="105" t="e">
        <f>COUNTIF(#REF!,"장공")</f>
        <v>#REF!</v>
      </c>
      <c r="I76" s="106" t="s">
        <v>5</v>
      </c>
      <c r="J76" s="107" t="e">
        <f>SUMIF(#REF!,"장공",#REF!)</f>
        <v>#REF!</v>
      </c>
      <c r="K76" s="105" t="e">
        <f t="shared" si="4"/>
        <v>#REF!</v>
      </c>
      <c r="L76" s="106" t="s">
        <v>5</v>
      </c>
      <c r="M76" s="107" t="e">
        <f t="shared" si="5"/>
        <v>#REF!</v>
      </c>
      <c r="N76" s="108"/>
      <c r="O76" s="64"/>
      <c r="P76" s="64"/>
      <c r="Q76" s="64"/>
      <c r="R76" s="64"/>
      <c r="S76" s="64"/>
      <c r="T76" s="64"/>
      <c r="U76" s="64"/>
      <c r="V76" s="64"/>
    </row>
    <row r="77" spans="1:22" s="65" customFormat="1" ht="23.1" hidden="1" customHeight="1">
      <c r="A77" s="104" t="s">
        <v>18</v>
      </c>
      <c r="B77" s="105" t="e">
        <f>COUNTIF(#REF!,"목")</f>
        <v>#REF!</v>
      </c>
      <c r="C77" s="106" t="s">
        <v>5</v>
      </c>
      <c r="D77" s="107" t="e">
        <f>SUMIF(#REF!,"목",#REF!)</f>
        <v>#REF!</v>
      </c>
      <c r="E77" s="105" t="e">
        <f>COUNTIF(#REF!,"목국")</f>
        <v>#REF!</v>
      </c>
      <c r="F77" s="106" t="s">
        <v>5</v>
      </c>
      <c r="G77" s="107" t="e">
        <f>SUMIF(#REF!,"목국",#REF!)</f>
        <v>#REF!</v>
      </c>
      <c r="H77" s="105" t="e">
        <f>COUNTIF(#REF!,"목공")</f>
        <v>#REF!</v>
      </c>
      <c r="I77" s="106" t="s">
        <v>5</v>
      </c>
      <c r="J77" s="107" t="e">
        <f>SUMIF(#REF!,"목공",#REF!)</f>
        <v>#REF!</v>
      </c>
      <c r="K77" s="105" t="e">
        <f t="shared" si="4"/>
        <v>#REF!</v>
      </c>
      <c r="L77" s="106" t="s">
        <v>5</v>
      </c>
      <c r="M77" s="107" t="e">
        <f t="shared" si="5"/>
        <v>#REF!</v>
      </c>
      <c r="N77" s="108"/>
      <c r="O77" s="64"/>
      <c r="P77" s="64"/>
      <c r="Q77" s="64"/>
      <c r="R77" s="64"/>
      <c r="S77" s="64"/>
      <c r="T77" s="64"/>
      <c r="U77" s="64"/>
      <c r="V77" s="64"/>
    </row>
    <row r="78" spans="1:22" s="65" customFormat="1" ht="23.1" hidden="1" customHeight="1">
      <c r="A78" s="104" t="s">
        <v>23</v>
      </c>
      <c r="B78" s="105" t="e">
        <f>COUNTIF(#REF!,"학")</f>
        <v>#REF!</v>
      </c>
      <c r="C78" s="106" t="s">
        <v>5</v>
      </c>
      <c r="D78" s="107" t="e">
        <f>SUMIF(#REF!,"학",#REF!)</f>
        <v>#REF!</v>
      </c>
      <c r="E78" s="105" t="e">
        <f>COUNTIF(#REF!,"학국")</f>
        <v>#REF!</v>
      </c>
      <c r="F78" s="106" t="s">
        <v>5</v>
      </c>
      <c r="G78" s="107" t="e">
        <f>SUMIF(#REF!,"학국",#REF!)</f>
        <v>#REF!</v>
      </c>
      <c r="H78" s="105" t="e">
        <f>COUNTIF(#REF!,"학공")</f>
        <v>#REF!</v>
      </c>
      <c r="I78" s="106" t="s">
        <v>5</v>
      </c>
      <c r="J78" s="107" t="e">
        <f>SUMIF(#REF!,"학공",#REF!)</f>
        <v>#REF!</v>
      </c>
      <c r="K78" s="105" t="e">
        <f t="shared" si="4"/>
        <v>#REF!</v>
      </c>
      <c r="L78" s="106" t="s">
        <v>5</v>
      </c>
      <c r="M78" s="107" t="e">
        <f t="shared" si="5"/>
        <v>#REF!</v>
      </c>
      <c r="N78" s="108"/>
      <c r="O78" s="64"/>
      <c r="P78" s="64"/>
      <c r="Q78" s="64"/>
      <c r="R78" s="64"/>
      <c r="S78" s="64"/>
      <c r="T78" s="64"/>
      <c r="U78" s="64"/>
      <c r="V78" s="64"/>
    </row>
    <row r="79" spans="1:22" s="65" customFormat="1" ht="23.1" hidden="1" customHeight="1">
      <c r="A79" s="104" t="s">
        <v>41</v>
      </c>
      <c r="B79" s="105" t="e">
        <f>COUNTIF(#REF!,"철")</f>
        <v>#REF!</v>
      </c>
      <c r="C79" s="106" t="s">
        <v>5</v>
      </c>
      <c r="D79" s="107" t="e">
        <f>SUMIF(#REF!,"철",#REF!)</f>
        <v>#REF!</v>
      </c>
      <c r="E79" s="105" t="e">
        <f>COUNTIF(#REF!,"철국")</f>
        <v>#REF!</v>
      </c>
      <c r="F79" s="106" t="s">
        <v>5</v>
      </c>
      <c r="G79" s="107" t="e">
        <f>SUMIF(#REF!,"철국",#REF!)</f>
        <v>#REF!</v>
      </c>
      <c r="H79" s="105" t="e">
        <f>COUNTIF(#REF!,"철공")</f>
        <v>#REF!</v>
      </c>
      <c r="I79" s="106" t="s">
        <v>5</v>
      </c>
      <c r="J79" s="107" t="e">
        <f>SUMIF(#REF!,"철공",#REF!)</f>
        <v>#REF!</v>
      </c>
      <c r="K79" s="105" t="e">
        <f t="shared" si="4"/>
        <v>#REF!</v>
      </c>
      <c r="L79" s="106" t="s">
        <v>5</v>
      </c>
      <c r="M79" s="107" t="e">
        <f t="shared" si="5"/>
        <v>#REF!</v>
      </c>
      <c r="N79" s="108"/>
      <c r="O79" s="64"/>
      <c r="P79" s="64"/>
      <c r="Q79" s="64"/>
      <c r="R79" s="64"/>
      <c r="S79" s="64"/>
      <c r="T79" s="64"/>
      <c r="U79" s="64"/>
      <c r="V79" s="64"/>
    </row>
    <row r="80" spans="1:22" s="65" customFormat="1" ht="23.1" hidden="1" customHeight="1">
      <c r="A80" s="104" t="s">
        <v>17</v>
      </c>
      <c r="B80" s="105" t="e">
        <f>COUNTIF(#REF!,"묘")</f>
        <v>#REF!</v>
      </c>
      <c r="C80" s="106" t="s">
        <v>5</v>
      </c>
      <c r="D80" s="107" t="e">
        <f>SUMIF(#REF!,"묘",#REF!)</f>
        <v>#REF!</v>
      </c>
      <c r="E80" s="105" t="e">
        <f>COUNTIF(#REF!,"묘국")</f>
        <v>#REF!</v>
      </c>
      <c r="F80" s="106" t="s">
        <v>5</v>
      </c>
      <c r="G80" s="107" t="e">
        <f>SUMIF(#REF!,"묘국",#REF!)</f>
        <v>#REF!</v>
      </c>
      <c r="H80" s="105" t="e">
        <f>COUNTIF(#REF!,"묘공")</f>
        <v>#REF!</v>
      </c>
      <c r="I80" s="106" t="s">
        <v>5</v>
      </c>
      <c r="J80" s="107" t="e">
        <f>SUMIF(#REF!,"묘공",#REF!)</f>
        <v>#REF!</v>
      </c>
      <c r="K80" s="105" t="e">
        <f t="shared" si="4"/>
        <v>#REF!</v>
      </c>
      <c r="L80" s="106" t="s">
        <v>5</v>
      </c>
      <c r="M80" s="107" t="e">
        <f t="shared" si="5"/>
        <v>#REF!</v>
      </c>
      <c r="N80" s="108"/>
      <c r="O80" s="64"/>
      <c r="P80" s="64"/>
      <c r="Q80" s="64"/>
      <c r="R80" s="64"/>
      <c r="S80" s="64"/>
      <c r="T80" s="64"/>
      <c r="U80" s="64"/>
      <c r="V80" s="64"/>
    </row>
    <row r="81" spans="1:22" s="65" customFormat="1" ht="23.1" hidden="1" customHeight="1">
      <c r="A81" s="104" t="s">
        <v>20</v>
      </c>
      <c r="B81" s="105" t="e">
        <f>COUNTIF(#REF!,"수")</f>
        <v>#REF!</v>
      </c>
      <c r="C81" s="106" t="s">
        <v>5</v>
      </c>
      <c r="D81" s="107" t="e">
        <f>SUMIF(#REF!,"수",#REF!)</f>
        <v>#REF!</v>
      </c>
      <c r="E81" s="105" t="e">
        <f>COUNTIF(#REF!,"수국")</f>
        <v>#REF!</v>
      </c>
      <c r="F81" s="106" t="s">
        <v>5</v>
      </c>
      <c r="G81" s="107" t="e">
        <f>SUMIF(#REF!,"수국",#REF!)</f>
        <v>#REF!</v>
      </c>
      <c r="H81" s="105" t="e">
        <f>COUNTIF(#REF!,"수공")</f>
        <v>#REF!</v>
      </c>
      <c r="I81" s="106" t="s">
        <v>5</v>
      </c>
      <c r="J81" s="107" t="e">
        <f>SUMIF(#REF!,"수공",#REF!)</f>
        <v>#REF!</v>
      </c>
      <c r="K81" s="105" t="e">
        <f t="shared" si="4"/>
        <v>#REF!</v>
      </c>
      <c r="L81" s="106" t="s">
        <v>5</v>
      </c>
      <c r="M81" s="107" t="e">
        <f t="shared" si="5"/>
        <v>#REF!</v>
      </c>
      <c r="N81" s="108"/>
      <c r="O81" s="64"/>
      <c r="P81" s="64"/>
      <c r="Q81" s="64"/>
      <c r="R81" s="64"/>
      <c r="S81" s="64"/>
      <c r="T81" s="64"/>
      <c r="U81" s="64"/>
      <c r="V81" s="64"/>
    </row>
    <row r="82" spans="1:22" s="65" customFormat="1" ht="23.1" hidden="1" customHeight="1">
      <c r="A82" s="104" t="s">
        <v>19</v>
      </c>
      <c r="B82" s="105" t="e">
        <f>COUNTIF(#REF!,"잡")</f>
        <v>#REF!</v>
      </c>
      <c r="C82" s="106" t="s">
        <v>5</v>
      </c>
      <c r="D82" s="107" t="e">
        <f>SUMIF(#REF!,"잡",#REF!)</f>
        <v>#REF!</v>
      </c>
      <c r="E82" s="105" t="e">
        <f>COUNTIF(#REF!,"잡국")</f>
        <v>#REF!</v>
      </c>
      <c r="F82" s="106" t="s">
        <v>5</v>
      </c>
      <c r="G82" s="107" t="e">
        <f>SUMIF(#REF!,"잡국",#REF!)</f>
        <v>#REF!</v>
      </c>
      <c r="H82" s="105" t="e">
        <f>COUNTIF(#REF!,"잡공")</f>
        <v>#REF!</v>
      </c>
      <c r="I82" s="106" t="s">
        <v>5</v>
      </c>
      <c r="J82" s="107" t="e">
        <f>SUMIF(#REF!,"잡공",#REF!)</f>
        <v>#REF!</v>
      </c>
      <c r="K82" s="105" t="e">
        <f t="shared" si="4"/>
        <v>#REF!</v>
      </c>
      <c r="L82" s="106" t="s">
        <v>5</v>
      </c>
      <c r="M82" s="107" t="e">
        <f t="shared" si="5"/>
        <v>#REF!</v>
      </c>
      <c r="N82" s="108"/>
      <c r="O82" s="64"/>
      <c r="P82" s="64"/>
      <c r="Q82" s="64"/>
      <c r="R82" s="64"/>
      <c r="S82" s="64"/>
      <c r="T82" s="64"/>
      <c r="U82" s="64"/>
      <c r="V82" s="64"/>
    </row>
    <row r="83" spans="1:22" s="65" customFormat="1" ht="23.1" hidden="1" customHeight="1">
      <c r="A83" s="104" t="s">
        <v>42</v>
      </c>
      <c r="B83" s="105" t="e">
        <f>COUNTIF(#REF!,"종")</f>
        <v>#REF!</v>
      </c>
      <c r="C83" s="106" t="s">
        <v>5</v>
      </c>
      <c r="D83" s="107" t="e">
        <f>SUMIF(#REF!,"종",#REF!)</f>
        <v>#REF!</v>
      </c>
      <c r="E83" s="105" t="e">
        <f>COUNTIF(#REF!,"종국")</f>
        <v>#REF!</v>
      </c>
      <c r="F83" s="106" t="s">
        <v>5</v>
      </c>
      <c r="G83" s="107" t="e">
        <f>SUMIF(#REF!,"종국",#REF!)</f>
        <v>#REF!</v>
      </c>
      <c r="H83" s="105" t="e">
        <f>COUNTIF(#REF!,"종공")</f>
        <v>#REF!</v>
      </c>
      <c r="I83" s="106" t="s">
        <v>5</v>
      </c>
      <c r="J83" s="107" t="e">
        <f>SUMIF(#REF!,"종공",#REF!)</f>
        <v>#REF!</v>
      </c>
      <c r="K83" s="105" t="e">
        <f t="shared" si="4"/>
        <v>#REF!</v>
      </c>
      <c r="L83" s="106" t="s">
        <v>5</v>
      </c>
      <c r="M83" s="107" t="e">
        <f t="shared" si="5"/>
        <v>#REF!</v>
      </c>
      <c r="N83" s="108"/>
      <c r="O83" s="64"/>
      <c r="P83" s="64"/>
      <c r="Q83" s="64"/>
      <c r="R83" s="64"/>
      <c r="S83" s="64"/>
      <c r="T83" s="64"/>
      <c r="U83" s="64"/>
      <c r="V83" s="64"/>
    </row>
    <row r="84" spans="1:22" s="65" customFormat="1" ht="23.1" hidden="1" customHeight="1">
      <c r="A84" s="104" t="s">
        <v>43</v>
      </c>
      <c r="B84" s="105" t="e">
        <f>COUNTIF(#REF!,"염")</f>
        <v>#REF!</v>
      </c>
      <c r="C84" s="106" t="s">
        <v>5</v>
      </c>
      <c r="D84" s="107" t="e">
        <f>SUMIF(#REF!,"염",#REF!)</f>
        <v>#REF!</v>
      </c>
      <c r="E84" s="105" t="e">
        <f>COUNTIF(#REF!,"염국")</f>
        <v>#REF!</v>
      </c>
      <c r="F84" s="106" t="s">
        <v>5</v>
      </c>
      <c r="G84" s="107" t="e">
        <f>SUMIF(#REF!,"염국",#REF!)</f>
        <v>#REF!</v>
      </c>
      <c r="H84" s="105" t="e">
        <f>COUNTIF(#REF!,"염공")</f>
        <v>#REF!</v>
      </c>
      <c r="I84" s="106" t="s">
        <v>5</v>
      </c>
      <c r="J84" s="107" t="e">
        <f>SUMIF(#REF!,"염공",#REF!)</f>
        <v>#REF!</v>
      </c>
      <c r="K84" s="105" t="e">
        <f t="shared" si="4"/>
        <v>#REF!</v>
      </c>
      <c r="L84" s="106" t="s">
        <v>5</v>
      </c>
      <c r="M84" s="107" t="e">
        <f t="shared" si="5"/>
        <v>#REF!</v>
      </c>
      <c r="N84" s="108"/>
      <c r="O84" s="64"/>
      <c r="P84" s="64"/>
      <c r="Q84" s="64"/>
      <c r="R84" s="64"/>
      <c r="S84" s="64"/>
      <c r="T84" s="64"/>
      <c r="U84" s="64"/>
      <c r="V84" s="64"/>
    </row>
    <row r="85" spans="1:22" s="65" customFormat="1" ht="23.1" hidden="1" customHeight="1">
      <c r="A85" s="104" t="s">
        <v>44</v>
      </c>
      <c r="B85" s="105" t="e">
        <f>COUNTIF(#REF!,"공")</f>
        <v>#REF!</v>
      </c>
      <c r="C85" s="106" t="s">
        <v>5</v>
      </c>
      <c r="D85" s="107" t="e">
        <f>SUMIF(#REF!,"공",#REF!)</f>
        <v>#REF!</v>
      </c>
      <c r="E85" s="105" t="e">
        <f>COUNTIF(#REF!,"공국")</f>
        <v>#REF!</v>
      </c>
      <c r="F85" s="106" t="s">
        <v>5</v>
      </c>
      <c r="G85" s="107" t="e">
        <f>SUMIF(#REF!,"공국",#REF!)</f>
        <v>#REF!</v>
      </c>
      <c r="H85" s="105" t="e">
        <f>COUNTIF(#REF!,"공공")</f>
        <v>#REF!</v>
      </c>
      <c r="I85" s="106" t="s">
        <v>5</v>
      </c>
      <c r="J85" s="107" t="e">
        <f>SUMIF(#REF!,"공공",#REF!)</f>
        <v>#REF!</v>
      </c>
      <c r="K85" s="105" t="e">
        <f t="shared" si="4"/>
        <v>#REF!</v>
      </c>
      <c r="L85" s="106" t="s">
        <v>5</v>
      </c>
      <c r="M85" s="107" t="e">
        <f t="shared" si="5"/>
        <v>#REF!</v>
      </c>
      <c r="N85" s="108"/>
      <c r="O85" s="64"/>
      <c r="P85" s="64"/>
      <c r="Q85" s="64"/>
      <c r="R85" s="64"/>
      <c r="S85" s="64"/>
      <c r="T85" s="64"/>
      <c r="U85" s="64"/>
      <c r="V85" s="64"/>
    </row>
    <row r="86" spans="1:22" s="65" customFormat="1" ht="23.1" hidden="1" customHeight="1">
      <c r="A86" s="104" t="s">
        <v>45</v>
      </c>
      <c r="B86" s="105" t="e">
        <f>COUNTIF(#REF!,"체")</f>
        <v>#REF!</v>
      </c>
      <c r="C86" s="106" t="s">
        <v>5</v>
      </c>
      <c r="D86" s="107" t="e">
        <f>SUMIF(#REF!,"체",#REF!)</f>
        <v>#REF!</v>
      </c>
      <c r="E86" s="105" t="e">
        <f>COUNTIF(#REF!,"체국")</f>
        <v>#REF!</v>
      </c>
      <c r="F86" s="106" t="s">
        <v>5</v>
      </c>
      <c r="G86" s="107" t="e">
        <f>SUMIF(#REF!,"체국",#REF!)</f>
        <v>#REF!</v>
      </c>
      <c r="H86" s="105" t="e">
        <f>COUNTIF(#REF!,"체공")</f>
        <v>#REF!</v>
      </c>
      <c r="I86" s="106" t="s">
        <v>5</v>
      </c>
      <c r="J86" s="107" t="e">
        <f>SUMIF(#REF!,"체공",#REF!)</f>
        <v>#REF!</v>
      </c>
      <c r="K86" s="105" t="e">
        <f t="shared" si="4"/>
        <v>#REF!</v>
      </c>
      <c r="L86" s="106" t="s">
        <v>5</v>
      </c>
      <c r="M86" s="107" t="e">
        <f t="shared" si="5"/>
        <v>#REF!</v>
      </c>
      <c r="N86" s="108"/>
      <c r="O86" s="64"/>
      <c r="P86" s="64"/>
      <c r="Q86" s="64"/>
      <c r="R86" s="64"/>
      <c r="S86" s="64"/>
      <c r="T86" s="64"/>
      <c r="U86" s="64"/>
      <c r="V86" s="64"/>
    </row>
    <row r="87" spans="1:22" s="65" customFormat="1" ht="23.1" hidden="1" customHeight="1">
      <c r="A87" s="104" t="s">
        <v>46</v>
      </c>
      <c r="B87" s="105" t="e">
        <f>COUNTIF(#REF!,"원")</f>
        <v>#REF!</v>
      </c>
      <c r="C87" s="106" t="s">
        <v>5</v>
      </c>
      <c r="D87" s="107" t="e">
        <f>SUMIF(#REF!,"원",#REF!)</f>
        <v>#REF!</v>
      </c>
      <c r="E87" s="105" t="e">
        <f>COUNTIF(#REF!,"원국")</f>
        <v>#REF!</v>
      </c>
      <c r="F87" s="106" t="s">
        <v>5</v>
      </c>
      <c r="G87" s="107" t="e">
        <f>SUMIF(#REF!,"원국",#REF!)</f>
        <v>#REF!</v>
      </c>
      <c r="H87" s="105" t="e">
        <f>COUNTIF(#REF!,"원공")</f>
        <v>#REF!</v>
      </c>
      <c r="I87" s="106" t="s">
        <v>5</v>
      </c>
      <c r="J87" s="107" t="e">
        <f>SUMIF(#REF!,"원공",#REF!)</f>
        <v>#REF!</v>
      </c>
      <c r="K87" s="105" t="e">
        <f t="shared" si="4"/>
        <v>#REF!</v>
      </c>
      <c r="L87" s="106" t="s">
        <v>5</v>
      </c>
      <c r="M87" s="107" t="e">
        <f t="shared" si="5"/>
        <v>#REF!</v>
      </c>
      <c r="N87" s="108"/>
      <c r="O87" s="64"/>
      <c r="P87" s="64"/>
      <c r="Q87" s="64"/>
      <c r="R87" s="64"/>
      <c r="S87" s="64"/>
      <c r="T87" s="64"/>
      <c r="U87" s="64"/>
      <c r="V87" s="64"/>
    </row>
    <row r="88" spans="1:22" s="65" customFormat="1" ht="23.1" hidden="1" customHeight="1">
      <c r="A88" s="104" t="s">
        <v>56</v>
      </c>
      <c r="B88" s="105" t="e">
        <f>COUNTIF(#REF!,"주")</f>
        <v>#REF!</v>
      </c>
      <c r="C88" s="106" t="s">
        <v>5</v>
      </c>
      <c r="D88" s="107" t="e">
        <f>SUMIF(#REF!,"주",#REF!)</f>
        <v>#REF!</v>
      </c>
      <c r="E88" s="105" t="e">
        <f>COUNTIF(#REF!,"주국")</f>
        <v>#REF!</v>
      </c>
      <c r="F88" s="106" t="s">
        <v>5</v>
      </c>
      <c r="G88" s="107" t="e">
        <f>SUMIF(#REF!,"주국",#REF!)</f>
        <v>#REF!</v>
      </c>
      <c r="H88" s="105" t="e">
        <f>COUNTIF(#REF!,"주공")</f>
        <v>#REF!</v>
      </c>
      <c r="I88" s="106" t="s">
        <v>5</v>
      </c>
      <c r="J88" s="107" t="e">
        <f>SUMIF(#REF!,"주공",#REF!)</f>
        <v>#REF!</v>
      </c>
      <c r="K88" s="105" t="e">
        <f t="shared" si="4"/>
        <v>#REF!</v>
      </c>
      <c r="L88" s="106" t="s">
        <v>5</v>
      </c>
      <c r="M88" s="107" t="e">
        <f t="shared" si="5"/>
        <v>#REF!</v>
      </c>
      <c r="N88" s="108"/>
      <c r="O88" s="64"/>
      <c r="P88" s="64"/>
      <c r="Q88" s="64"/>
      <c r="R88" s="64"/>
      <c r="S88" s="64"/>
      <c r="T88" s="64"/>
      <c r="U88" s="64"/>
      <c r="V88" s="64"/>
    </row>
    <row r="89" spans="1:22" s="65" customFormat="1" ht="23.1" hidden="1" customHeight="1">
      <c r="A89" s="104" t="s">
        <v>57</v>
      </c>
      <c r="B89" s="105" t="e">
        <f>COUNTIF(#REF!,"창")</f>
        <v>#REF!</v>
      </c>
      <c r="C89" s="106" t="s">
        <v>5</v>
      </c>
      <c r="D89" s="107" t="e">
        <f>SUMIF(#REF!,"창",#REF!)</f>
        <v>#REF!</v>
      </c>
      <c r="E89" s="105" t="e">
        <f>COUNTIF(#REF!,"창국")</f>
        <v>#REF!</v>
      </c>
      <c r="F89" s="106" t="s">
        <v>5</v>
      </c>
      <c r="G89" s="107" t="e">
        <f>SUMIF(#REF!,"창국",#REF!)</f>
        <v>#REF!</v>
      </c>
      <c r="H89" s="105" t="e">
        <f>COUNTIF(#REF!,"창공")</f>
        <v>#REF!</v>
      </c>
      <c r="I89" s="106" t="s">
        <v>5</v>
      </c>
      <c r="J89" s="107" t="e">
        <f>SUMIF(#REF!,"창공",#REF!)</f>
        <v>#REF!</v>
      </c>
      <c r="K89" s="105" t="e">
        <f t="shared" si="4"/>
        <v>#REF!</v>
      </c>
      <c r="L89" s="106" t="s">
        <v>5</v>
      </c>
      <c r="M89" s="107" t="e">
        <f t="shared" si="5"/>
        <v>#REF!</v>
      </c>
      <c r="N89" s="108"/>
      <c r="O89" s="64"/>
      <c r="P89" s="64"/>
      <c r="Q89" s="64"/>
      <c r="R89" s="64"/>
      <c r="S89" s="64"/>
      <c r="T89" s="64"/>
      <c r="U89" s="64"/>
      <c r="V89" s="64"/>
    </row>
    <row r="90" spans="1:22" s="65" customFormat="1" ht="23.1" hidden="1" customHeight="1">
      <c r="A90" s="104" t="s">
        <v>24</v>
      </c>
      <c r="B90" s="105" t="e">
        <f>COUNTIF(#REF!," ")</f>
        <v>#REF!</v>
      </c>
      <c r="C90" s="106" t="s">
        <v>5</v>
      </c>
      <c r="D90" s="107" t="e">
        <f>SUMIF(#REF!," ",#REF!)</f>
        <v>#REF!</v>
      </c>
      <c r="E90" s="105" t="e">
        <f>COUNTIF(#REF!," 국")</f>
        <v>#REF!</v>
      </c>
      <c r="F90" s="106" t="s">
        <v>5</v>
      </c>
      <c r="G90" s="107" t="e">
        <f>SUMIF(#REF!," 국",#REF!)</f>
        <v>#REF!</v>
      </c>
      <c r="H90" s="105" t="e">
        <f>COUNTIF(#REF!," 공")</f>
        <v>#REF!</v>
      </c>
      <c r="I90" s="106" t="s">
        <v>5</v>
      </c>
      <c r="J90" s="107" t="e">
        <f>SUMIF(#REF!," 공",#REF!)</f>
        <v>#REF!</v>
      </c>
      <c r="K90" s="105" t="e">
        <f t="shared" si="4"/>
        <v>#REF!</v>
      </c>
      <c r="L90" s="106" t="s">
        <v>5</v>
      </c>
      <c r="M90" s="107" t="e">
        <f t="shared" si="5"/>
        <v>#REF!</v>
      </c>
      <c r="N90" s="108"/>
      <c r="O90" s="64"/>
      <c r="P90" s="64"/>
      <c r="Q90" s="64"/>
      <c r="R90" s="64"/>
      <c r="S90" s="64"/>
      <c r="T90" s="64"/>
      <c r="U90" s="64"/>
      <c r="V90" s="64"/>
    </row>
    <row r="91" spans="1:22" s="59" customFormat="1" ht="20.100000000000001" hidden="1" customHeight="1">
      <c r="A91" s="56" t="e">
        <f>IF(EXACT(O95,O96),,"검산확인요!!!")</f>
        <v>#REF!</v>
      </c>
      <c r="B91" s="57"/>
      <c r="C91" s="57"/>
      <c r="D91" s="95"/>
      <c r="E91" s="57"/>
      <c r="F91" s="57"/>
      <c r="G91" s="95"/>
      <c r="H91" s="57"/>
      <c r="I91" s="57"/>
      <c r="J91" s="95"/>
      <c r="K91" s="86" t="e">
        <f>IF(ISBLANK(#REF!),,#REF!)</f>
        <v>#REF!</v>
      </c>
      <c r="L91" s="58"/>
      <c r="M91" s="97"/>
      <c r="N91" s="53"/>
    </row>
    <row r="92" spans="1:22" s="59" customFormat="1" ht="9.9499999999999993" hidden="1" customHeight="1">
      <c r="A92" s="56"/>
      <c r="B92" s="57"/>
      <c r="C92" s="57"/>
      <c r="D92" s="95"/>
      <c r="E92" s="57"/>
      <c r="F92" s="57"/>
      <c r="G92" s="95"/>
      <c r="H92" s="57"/>
      <c r="I92" s="57"/>
      <c r="J92" s="95"/>
      <c r="K92" s="57"/>
      <c r="L92" s="57"/>
      <c r="M92" s="95"/>
      <c r="N92" s="57"/>
    </row>
    <row r="93" spans="1:22" s="65" customFormat="1" ht="27.95" hidden="1" customHeight="1">
      <c r="A93" s="60" t="s">
        <v>2</v>
      </c>
      <c r="B93" s="101" t="s">
        <v>3</v>
      </c>
      <c r="C93" s="102"/>
      <c r="D93" s="103"/>
      <c r="E93" s="101" t="s">
        <v>47</v>
      </c>
      <c r="F93" s="102"/>
      <c r="G93" s="103"/>
      <c r="H93" s="101" t="s">
        <v>58</v>
      </c>
      <c r="I93" s="102"/>
      <c r="J93" s="103"/>
      <c r="K93" s="101" t="s">
        <v>48</v>
      </c>
      <c r="L93" s="102"/>
      <c r="M93" s="103"/>
      <c r="N93" s="63" t="s">
        <v>22</v>
      </c>
      <c r="O93" s="64"/>
      <c r="S93" s="64"/>
      <c r="T93" s="64"/>
      <c r="U93" s="64"/>
      <c r="V93" s="64"/>
    </row>
    <row r="94" spans="1:22" s="65" customFormat="1" ht="27.95" hidden="1" customHeight="1">
      <c r="A94" s="66"/>
      <c r="B94" s="98" t="s">
        <v>4</v>
      </c>
      <c r="C94" s="99" t="s">
        <v>5</v>
      </c>
      <c r="D94" s="100" t="s">
        <v>49</v>
      </c>
      <c r="E94" s="98" t="s">
        <v>4</v>
      </c>
      <c r="F94" s="99" t="s">
        <v>5</v>
      </c>
      <c r="G94" s="100" t="s">
        <v>49</v>
      </c>
      <c r="H94" s="98" t="s">
        <v>4</v>
      </c>
      <c r="I94" s="99" t="s">
        <v>5</v>
      </c>
      <c r="J94" s="100" t="s">
        <v>49</v>
      </c>
      <c r="K94" s="98" t="s">
        <v>4</v>
      </c>
      <c r="L94" s="99" t="s">
        <v>5</v>
      </c>
      <c r="M94" s="100" t="s">
        <v>49</v>
      </c>
      <c r="N94" s="69"/>
      <c r="P94" s="64"/>
      <c r="Q94" s="70" t="s">
        <v>50</v>
      </c>
      <c r="R94" s="70" t="s">
        <v>51</v>
      </c>
      <c r="S94" s="70" t="s">
        <v>52</v>
      </c>
      <c r="T94" s="70" t="s">
        <v>53</v>
      </c>
      <c r="U94" s="64"/>
      <c r="V94" s="64"/>
    </row>
    <row r="95" spans="1:22" s="65" customFormat="1" ht="23.1" hidden="1" customHeight="1">
      <c r="A95" s="71" t="s">
        <v>3</v>
      </c>
      <c r="B95" s="87" t="e">
        <f>SUM(B96:B120)</f>
        <v>#REF!</v>
      </c>
      <c r="C95" s="72" t="s">
        <v>5</v>
      </c>
      <c r="D95" s="124" t="e">
        <f>SUM(D96:D120)</f>
        <v>#REF!</v>
      </c>
      <c r="E95" s="87" t="e">
        <f>SUM(E96:E120)</f>
        <v>#REF!</v>
      </c>
      <c r="F95" s="72" t="s">
        <v>5</v>
      </c>
      <c r="G95" s="124" t="e">
        <f>SUM(G96:G120)</f>
        <v>#REF!</v>
      </c>
      <c r="H95" s="87" t="e">
        <f>SUM(H96:H120)</f>
        <v>#REF!</v>
      </c>
      <c r="I95" s="72" t="s">
        <v>5</v>
      </c>
      <c r="J95" s="124" t="e">
        <f>SUM(J96:J120)</f>
        <v>#REF!</v>
      </c>
      <c r="K95" s="87" t="e">
        <f>SUM(K96:K120)</f>
        <v>#REF!</v>
      </c>
      <c r="L95" s="72" t="s">
        <v>5</v>
      </c>
      <c r="M95" s="124" t="e">
        <f>SUM(M96:M120)</f>
        <v>#REF!</v>
      </c>
      <c r="N95" s="73"/>
      <c r="O95" s="64" t="e">
        <f>IF(EXACT(Q95,T95),"맞음","틀림")</f>
        <v>#REF!</v>
      </c>
      <c r="P95" s="64" t="s">
        <v>4</v>
      </c>
      <c r="Q95" s="74" t="e">
        <f>SUM(B96:B120)</f>
        <v>#REF!</v>
      </c>
      <c r="R95" s="74" t="e">
        <f>SUM(H96:H120)</f>
        <v>#REF!</v>
      </c>
      <c r="S95" s="74" t="e">
        <f>SUM(K96:K120)</f>
        <v>#REF!</v>
      </c>
      <c r="T95" s="74" t="e">
        <f>K95+H95</f>
        <v>#REF!</v>
      </c>
      <c r="U95" s="64"/>
      <c r="V95" s="64"/>
    </row>
    <row r="96" spans="1:22" s="65" customFormat="1" ht="23.1" hidden="1" customHeight="1">
      <c r="A96" s="75" t="s">
        <v>7</v>
      </c>
      <c r="B96" s="88" t="e">
        <f>COUNTIF(#REF!,"전")</f>
        <v>#REF!</v>
      </c>
      <c r="C96" s="76" t="s">
        <v>5</v>
      </c>
      <c r="D96" s="125" t="e">
        <f>SUMIF(#REF!,"전",#REF!)</f>
        <v>#REF!</v>
      </c>
      <c r="E96" s="88" t="e">
        <f>COUNTIF(#REF!,"전국")</f>
        <v>#REF!</v>
      </c>
      <c r="F96" s="76" t="s">
        <v>5</v>
      </c>
      <c r="G96" s="125" t="e">
        <f>SUMIF(#REF!,"전국",#REF!)</f>
        <v>#REF!</v>
      </c>
      <c r="H96" s="88" t="e">
        <f>COUNTIF(#REF!,"전공")</f>
        <v>#REF!</v>
      </c>
      <c r="I96" s="76" t="s">
        <v>5</v>
      </c>
      <c r="J96" s="125" t="e">
        <f>SUMIF(#REF!,"전공",#REF!)</f>
        <v>#REF!</v>
      </c>
      <c r="K96" s="88" t="e">
        <f t="shared" ref="K96:K120" si="6">B96-H96</f>
        <v>#REF!</v>
      </c>
      <c r="L96" s="76" t="s">
        <v>5</v>
      </c>
      <c r="M96" s="125" t="e">
        <f t="shared" ref="M96:M120" si="7">D96-J96</f>
        <v>#REF!</v>
      </c>
      <c r="N96" s="77"/>
      <c r="O96" s="64" t="e">
        <f>IF(EXACT(Q96,T96),"맞음","틀림")</f>
        <v>#REF!</v>
      </c>
      <c r="P96" s="64" t="s">
        <v>54</v>
      </c>
      <c r="Q96" s="74" t="e">
        <f>SUM(D96:D120)</f>
        <v>#REF!</v>
      </c>
      <c r="R96" s="74" t="e">
        <f>SUM(J96:J120)</f>
        <v>#REF!</v>
      </c>
      <c r="S96" s="74" t="e">
        <f>SUM(M96:M120)</f>
        <v>#REF!</v>
      </c>
      <c r="T96" s="74" t="e">
        <f>J95+M95</f>
        <v>#REF!</v>
      </c>
      <c r="U96" s="64"/>
      <c r="V96" s="64"/>
    </row>
    <row r="97" spans="1:22" s="65" customFormat="1" ht="23.1" hidden="1" customHeight="1">
      <c r="A97" s="75" t="s">
        <v>8</v>
      </c>
      <c r="B97" s="88" t="e">
        <f>COUNTIF(#REF!,"답")</f>
        <v>#REF!</v>
      </c>
      <c r="C97" s="76" t="s">
        <v>5</v>
      </c>
      <c r="D97" s="125" t="e">
        <f>SUMIF(#REF!,"답",#REF!)</f>
        <v>#REF!</v>
      </c>
      <c r="E97" s="88" t="e">
        <f>COUNTIF(#REF!,"답국")</f>
        <v>#REF!</v>
      </c>
      <c r="F97" s="76" t="s">
        <v>5</v>
      </c>
      <c r="G97" s="125" t="e">
        <f>SUMIF(#REF!,"답국",#REF!)</f>
        <v>#REF!</v>
      </c>
      <c r="H97" s="88" t="e">
        <f>COUNTIF(#REF!,"답공")</f>
        <v>#REF!</v>
      </c>
      <c r="I97" s="76" t="s">
        <v>5</v>
      </c>
      <c r="J97" s="125" t="e">
        <f>SUMIF(#REF!,"답공",#REF!)</f>
        <v>#REF!</v>
      </c>
      <c r="K97" s="88" t="e">
        <f t="shared" si="6"/>
        <v>#REF!</v>
      </c>
      <c r="L97" s="76" t="s">
        <v>5</v>
      </c>
      <c r="M97" s="125" t="e">
        <f t="shared" si="7"/>
        <v>#REF!</v>
      </c>
      <c r="N97" s="77"/>
      <c r="Q97" s="64"/>
      <c r="S97" s="64"/>
      <c r="U97" s="64"/>
      <c r="V97" s="64"/>
    </row>
    <row r="98" spans="1:22" s="65" customFormat="1" ht="23.1" hidden="1" customHeight="1">
      <c r="A98" s="78" t="s">
        <v>9</v>
      </c>
      <c r="B98" s="88" t="e">
        <f>COUNTIF(#REF!,"임")</f>
        <v>#REF!</v>
      </c>
      <c r="C98" s="76" t="s">
        <v>5</v>
      </c>
      <c r="D98" s="125" t="e">
        <f>SUMIF(#REF!,"임",#REF!)</f>
        <v>#REF!</v>
      </c>
      <c r="E98" s="88" t="e">
        <f>COUNTIF(#REF!,"임국")</f>
        <v>#REF!</v>
      </c>
      <c r="F98" s="76" t="s">
        <v>5</v>
      </c>
      <c r="G98" s="125" t="e">
        <f>SUMIF(#REF!,"임국",#REF!)</f>
        <v>#REF!</v>
      </c>
      <c r="H98" s="88" t="e">
        <f>COUNTIF(#REF!,"임공")</f>
        <v>#REF!</v>
      </c>
      <c r="I98" s="76" t="s">
        <v>5</v>
      </c>
      <c r="J98" s="125" t="e">
        <f>SUMIF(#REF!,"임공",#REF!)</f>
        <v>#REF!</v>
      </c>
      <c r="K98" s="88" t="e">
        <f t="shared" si="6"/>
        <v>#REF!</v>
      </c>
      <c r="L98" s="76" t="s">
        <v>5</v>
      </c>
      <c r="M98" s="125" t="e">
        <f t="shared" si="7"/>
        <v>#REF!</v>
      </c>
      <c r="N98" s="77"/>
      <c r="Q98" s="64"/>
      <c r="S98" s="64"/>
      <c r="U98" s="64"/>
      <c r="V98" s="64"/>
    </row>
    <row r="99" spans="1:22" s="65" customFormat="1" ht="23.1" hidden="1" customHeight="1">
      <c r="A99" s="75" t="s">
        <v>10</v>
      </c>
      <c r="B99" s="88" t="e">
        <f>COUNTIF(#REF!,"대")</f>
        <v>#REF!</v>
      </c>
      <c r="C99" s="76" t="s">
        <v>5</v>
      </c>
      <c r="D99" s="125" t="e">
        <f>SUMIF(#REF!,"대",#REF!)</f>
        <v>#REF!</v>
      </c>
      <c r="E99" s="88" t="e">
        <f>COUNTIF(#REF!,"대국")</f>
        <v>#REF!</v>
      </c>
      <c r="F99" s="76" t="s">
        <v>5</v>
      </c>
      <c r="G99" s="125" t="e">
        <f>SUMIF(#REF!,"대국",#REF!)</f>
        <v>#REF!</v>
      </c>
      <c r="H99" s="88" t="e">
        <f>COUNTIF(#REF!,"대공")</f>
        <v>#REF!</v>
      </c>
      <c r="I99" s="76" t="s">
        <v>5</v>
      </c>
      <c r="J99" s="125" t="e">
        <f>SUMIF(#REF!,"대공",#REF!)</f>
        <v>#REF!</v>
      </c>
      <c r="K99" s="88" t="e">
        <f t="shared" si="6"/>
        <v>#REF!</v>
      </c>
      <c r="L99" s="76" t="s">
        <v>5</v>
      </c>
      <c r="M99" s="125" t="e">
        <f t="shared" si="7"/>
        <v>#REF!</v>
      </c>
      <c r="N99" s="77"/>
      <c r="O99" s="64"/>
      <c r="P99" s="64"/>
      <c r="Q99" s="64"/>
      <c r="R99" s="64"/>
      <c r="S99" s="64"/>
      <c r="T99" s="64"/>
      <c r="U99" s="64"/>
      <c r="V99" s="64"/>
    </row>
    <row r="100" spans="1:22" s="65" customFormat="1" ht="23.1" hidden="1" customHeight="1">
      <c r="A100" s="75" t="s">
        <v>11</v>
      </c>
      <c r="B100" s="88" t="e">
        <f>COUNTIF(#REF!,"도")</f>
        <v>#REF!</v>
      </c>
      <c r="C100" s="76" t="s">
        <v>5</v>
      </c>
      <c r="D100" s="125" t="e">
        <f>SUMIF(#REF!,"도",#REF!)</f>
        <v>#REF!</v>
      </c>
      <c r="E100" s="88" t="e">
        <f>COUNTIF(#REF!,"도국")</f>
        <v>#REF!</v>
      </c>
      <c r="F100" s="76" t="s">
        <v>5</v>
      </c>
      <c r="G100" s="125" t="e">
        <f>SUMIF(#REF!,"도국",#REF!)</f>
        <v>#REF!</v>
      </c>
      <c r="H100" s="88" t="e">
        <f>COUNTIF(#REF!,"도공")</f>
        <v>#REF!</v>
      </c>
      <c r="I100" s="76" t="s">
        <v>5</v>
      </c>
      <c r="J100" s="125" t="e">
        <f>SUMIF(#REF!,"도공",#REF!)</f>
        <v>#REF!</v>
      </c>
      <c r="K100" s="88" t="e">
        <f t="shared" si="6"/>
        <v>#REF!</v>
      </c>
      <c r="L100" s="76" t="s">
        <v>5</v>
      </c>
      <c r="M100" s="125" t="e">
        <f t="shared" si="7"/>
        <v>#REF!</v>
      </c>
      <c r="N100" s="77"/>
      <c r="O100" s="64"/>
      <c r="P100" s="64"/>
      <c r="Q100" s="64"/>
      <c r="R100" s="64"/>
      <c r="S100" s="64"/>
      <c r="T100" s="64"/>
      <c r="U100" s="64"/>
      <c r="V100" s="64"/>
    </row>
    <row r="101" spans="1:22" s="65" customFormat="1" ht="23.1" hidden="1" customHeight="1">
      <c r="A101" s="75" t="s">
        <v>13</v>
      </c>
      <c r="B101" s="88" t="e">
        <f>COUNTIF(#REF!,"구")</f>
        <v>#REF!</v>
      </c>
      <c r="C101" s="76" t="s">
        <v>5</v>
      </c>
      <c r="D101" s="125" t="e">
        <f>SUMIF(#REF!,"구",#REF!)</f>
        <v>#REF!</v>
      </c>
      <c r="E101" s="88" t="e">
        <f>COUNTIF(#REF!,"구국")</f>
        <v>#REF!</v>
      </c>
      <c r="F101" s="76" t="s">
        <v>5</v>
      </c>
      <c r="G101" s="125" t="e">
        <f>SUMIF(#REF!,"구국",#REF!)</f>
        <v>#REF!</v>
      </c>
      <c r="H101" s="88" t="e">
        <f>COUNTIF(#REF!,"구공")</f>
        <v>#REF!</v>
      </c>
      <c r="I101" s="76" t="s">
        <v>5</v>
      </c>
      <c r="J101" s="125" t="e">
        <f>SUMIF(#REF!,"구공",#REF!)</f>
        <v>#REF!</v>
      </c>
      <c r="K101" s="88" t="e">
        <f t="shared" si="6"/>
        <v>#REF!</v>
      </c>
      <c r="L101" s="76" t="s">
        <v>5</v>
      </c>
      <c r="M101" s="125" t="e">
        <f t="shared" si="7"/>
        <v>#REF!</v>
      </c>
      <c r="N101" s="77"/>
      <c r="O101" s="64"/>
      <c r="P101" s="64"/>
      <c r="Q101" s="64"/>
      <c r="R101" s="64"/>
      <c r="S101" s="64"/>
      <c r="T101" s="64"/>
      <c r="U101" s="64"/>
      <c r="V101" s="64"/>
    </row>
    <row r="102" spans="1:22" s="65" customFormat="1" ht="23.1" hidden="1" customHeight="1">
      <c r="A102" s="75" t="s">
        <v>12</v>
      </c>
      <c r="B102" s="88" t="e">
        <f>COUNTIF(#REF!,"천")</f>
        <v>#REF!</v>
      </c>
      <c r="C102" s="76" t="s">
        <v>5</v>
      </c>
      <c r="D102" s="125" t="e">
        <f>SUMIF(#REF!,"천",#REF!)</f>
        <v>#REF!</v>
      </c>
      <c r="E102" s="88" t="e">
        <f>COUNTIF(#REF!,"천국")</f>
        <v>#REF!</v>
      </c>
      <c r="F102" s="76" t="s">
        <v>5</v>
      </c>
      <c r="G102" s="125" t="e">
        <f>SUMIF(#REF!,"천국",#REF!)</f>
        <v>#REF!</v>
      </c>
      <c r="H102" s="88" t="e">
        <f>COUNTIF(#REF!,"천공")</f>
        <v>#REF!</v>
      </c>
      <c r="I102" s="76" t="s">
        <v>5</v>
      </c>
      <c r="J102" s="125" t="e">
        <f>SUMIF(#REF!,"천공",#REF!)</f>
        <v>#REF!</v>
      </c>
      <c r="K102" s="88" t="e">
        <f t="shared" si="6"/>
        <v>#REF!</v>
      </c>
      <c r="L102" s="76" t="s">
        <v>5</v>
      </c>
      <c r="M102" s="125" t="e">
        <f t="shared" si="7"/>
        <v>#REF!</v>
      </c>
      <c r="N102" s="77"/>
      <c r="O102" s="64"/>
      <c r="P102" s="64"/>
      <c r="Q102" s="64"/>
      <c r="R102" s="64"/>
      <c r="S102" s="64"/>
      <c r="T102" s="64"/>
      <c r="U102" s="64"/>
      <c r="V102" s="64"/>
    </row>
    <row r="103" spans="1:22" s="65" customFormat="1" ht="23.1" hidden="1" customHeight="1">
      <c r="A103" s="75" t="s">
        <v>15</v>
      </c>
      <c r="B103" s="88" t="e">
        <f>COUNTIF(#REF!,"유")</f>
        <v>#REF!</v>
      </c>
      <c r="C103" s="76" t="s">
        <v>5</v>
      </c>
      <c r="D103" s="125" t="e">
        <f>SUMIF(#REF!,"유",#REF!)</f>
        <v>#REF!</v>
      </c>
      <c r="E103" s="88" t="e">
        <f>COUNTIF(#REF!,"유국")</f>
        <v>#REF!</v>
      </c>
      <c r="F103" s="76" t="s">
        <v>5</v>
      </c>
      <c r="G103" s="125" t="e">
        <f>SUMIF(#REF!,"유국",#REF!)</f>
        <v>#REF!</v>
      </c>
      <c r="H103" s="88" t="e">
        <f>COUNTIF(#REF!,"유공")</f>
        <v>#REF!</v>
      </c>
      <c r="I103" s="76" t="s">
        <v>5</v>
      </c>
      <c r="J103" s="125" t="e">
        <f>SUMIF(#REF!,"유공",#REF!)</f>
        <v>#REF!</v>
      </c>
      <c r="K103" s="88" t="e">
        <f t="shared" si="6"/>
        <v>#REF!</v>
      </c>
      <c r="L103" s="76" t="s">
        <v>5</v>
      </c>
      <c r="M103" s="125" t="e">
        <f t="shared" si="7"/>
        <v>#REF!</v>
      </c>
      <c r="N103" s="77"/>
      <c r="O103" s="64"/>
      <c r="P103" s="64"/>
      <c r="Q103" s="64"/>
      <c r="R103" s="64"/>
      <c r="S103" s="64"/>
      <c r="T103" s="64"/>
      <c r="U103" s="64"/>
      <c r="V103" s="64"/>
    </row>
    <row r="104" spans="1:22" s="65" customFormat="1" ht="23.1" hidden="1" customHeight="1">
      <c r="A104" s="75" t="s">
        <v>14</v>
      </c>
      <c r="B104" s="88" t="e">
        <f>COUNTIF(#REF!,"제")</f>
        <v>#REF!</v>
      </c>
      <c r="C104" s="76" t="s">
        <v>5</v>
      </c>
      <c r="D104" s="125" t="e">
        <f>SUMIF(#REF!,"제",#REF!)</f>
        <v>#REF!</v>
      </c>
      <c r="E104" s="88" t="e">
        <f>COUNTIF(#REF!,"제국")</f>
        <v>#REF!</v>
      </c>
      <c r="F104" s="76" t="s">
        <v>5</v>
      </c>
      <c r="G104" s="125" t="e">
        <f>SUMIF(#REF!,"제국",#REF!)</f>
        <v>#REF!</v>
      </c>
      <c r="H104" s="88" t="e">
        <f>COUNTIF(#REF!,"제공")</f>
        <v>#REF!</v>
      </c>
      <c r="I104" s="76" t="s">
        <v>5</v>
      </c>
      <c r="J104" s="125" t="e">
        <f>SUMIF(#REF!,"제공",#REF!)</f>
        <v>#REF!</v>
      </c>
      <c r="K104" s="88" t="e">
        <f t="shared" si="6"/>
        <v>#REF!</v>
      </c>
      <c r="L104" s="76" t="s">
        <v>5</v>
      </c>
      <c r="M104" s="125" t="e">
        <f t="shared" si="7"/>
        <v>#REF!</v>
      </c>
      <c r="N104" s="77"/>
      <c r="O104" s="64"/>
      <c r="P104" s="64"/>
      <c r="Q104" s="64"/>
      <c r="R104" s="64"/>
      <c r="S104" s="64"/>
      <c r="T104" s="64"/>
      <c r="U104" s="64"/>
      <c r="V104" s="64"/>
    </row>
    <row r="105" spans="1:22" s="65" customFormat="1" ht="23.1" hidden="1" customHeight="1">
      <c r="A105" s="75" t="s">
        <v>16</v>
      </c>
      <c r="B105" s="88" t="e">
        <f>COUNTIF(#REF!,"과")</f>
        <v>#REF!</v>
      </c>
      <c r="C105" s="76" t="s">
        <v>5</v>
      </c>
      <c r="D105" s="125" t="e">
        <f>SUMIF(#REF!,"과",#REF!)</f>
        <v>#REF!</v>
      </c>
      <c r="E105" s="88" t="e">
        <f>COUNTIF(#REF!,"과국")</f>
        <v>#REF!</v>
      </c>
      <c r="F105" s="76" t="s">
        <v>5</v>
      </c>
      <c r="G105" s="125" t="e">
        <f>SUMIF(#REF!,"과국",#REF!)</f>
        <v>#REF!</v>
      </c>
      <c r="H105" s="88" t="e">
        <f>COUNTIF(#REF!,"과공")</f>
        <v>#REF!</v>
      </c>
      <c r="I105" s="76" t="s">
        <v>5</v>
      </c>
      <c r="J105" s="125" t="e">
        <f>SUMIF(#REF!,"과공",#REF!)</f>
        <v>#REF!</v>
      </c>
      <c r="K105" s="88" t="e">
        <f t="shared" si="6"/>
        <v>#REF!</v>
      </c>
      <c r="L105" s="76" t="s">
        <v>5</v>
      </c>
      <c r="M105" s="125" t="e">
        <f t="shared" si="7"/>
        <v>#REF!</v>
      </c>
      <c r="N105" s="77"/>
      <c r="O105" s="64"/>
      <c r="P105" s="64"/>
      <c r="Q105" s="64"/>
      <c r="R105" s="64"/>
      <c r="S105" s="64"/>
      <c r="T105" s="64"/>
      <c r="U105" s="64"/>
      <c r="V105" s="64"/>
    </row>
    <row r="106" spans="1:22" s="65" customFormat="1" ht="23.1" hidden="1" customHeight="1">
      <c r="A106" s="75" t="s">
        <v>21</v>
      </c>
      <c r="B106" s="88" t="e">
        <f>COUNTIF(#REF!,"장")</f>
        <v>#REF!</v>
      </c>
      <c r="C106" s="76" t="s">
        <v>5</v>
      </c>
      <c r="D106" s="125" t="e">
        <f>SUMIF(#REF!,"장",#REF!)</f>
        <v>#REF!</v>
      </c>
      <c r="E106" s="88" t="e">
        <f>COUNTIF(#REF!,"장국")</f>
        <v>#REF!</v>
      </c>
      <c r="F106" s="76" t="s">
        <v>5</v>
      </c>
      <c r="G106" s="125" t="e">
        <f>SUMIF(#REF!,"장국",#REF!)</f>
        <v>#REF!</v>
      </c>
      <c r="H106" s="88" t="e">
        <f>COUNTIF(#REF!,"장공")</f>
        <v>#REF!</v>
      </c>
      <c r="I106" s="76" t="s">
        <v>5</v>
      </c>
      <c r="J106" s="125" t="e">
        <f>SUMIF(#REF!,"장공",#REF!)</f>
        <v>#REF!</v>
      </c>
      <c r="K106" s="88" t="e">
        <f t="shared" si="6"/>
        <v>#REF!</v>
      </c>
      <c r="L106" s="76" t="s">
        <v>5</v>
      </c>
      <c r="M106" s="125" t="e">
        <f t="shared" si="7"/>
        <v>#REF!</v>
      </c>
      <c r="N106" s="77"/>
      <c r="O106" s="64"/>
      <c r="P106" s="64"/>
      <c r="Q106" s="64"/>
      <c r="R106" s="64"/>
      <c r="S106" s="64"/>
      <c r="T106" s="64"/>
      <c r="U106" s="64"/>
      <c r="V106" s="64"/>
    </row>
    <row r="107" spans="1:22" s="65" customFormat="1" ht="23.1" hidden="1" customHeight="1">
      <c r="A107" s="75" t="s">
        <v>18</v>
      </c>
      <c r="B107" s="88" t="e">
        <f>COUNTIF(#REF!,"목")</f>
        <v>#REF!</v>
      </c>
      <c r="C107" s="76" t="s">
        <v>5</v>
      </c>
      <c r="D107" s="125" t="e">
        <f>SUMIF(#REF!,"목",#REF!)</f>
        <v>#REF!</v>
      </c>
      <c r="E107" s="88" t="e">
        <f>COUNTIF(#REF!,"목국")</f>
        <v>#REF!</v>
      </c>
      <c r="F107" s="76" t="s">
        <v>5</v>
      </c>
      <c r="G107" s="125" t="e">
        <f>SUMIF(#REF!,"목국",#REF!)</f>
        <v>#REF!</v>
      </c>
      <c r="H107" s="88" t="e">
        <f>COUNTIF(#REF!,"목공")</f>
        <v>#REF!</v>
      </c>
      <c r="I107" s="76" t="s">
        <v>5</v>
      </c>
      <c r="J107" s="125" t="e">
        <f>SUMIF(#REF!,"목공",#REF!)</f>
        <v>#REF!</v>
      </c>
      <c r="K107" s="88" t="e">
        <f t="shared" si="6"/>
        <v>#REF!</v>
      </c>
      <c r="L107" s="76" t="s">
        <v>5</v>
      </c>
      <c r="M107" s="125" t="e">
        <f t="shared" si="7"/>
        <v>#REF!</v>
      </c>
      <c r="N107" s="77"/>
      <c r="O107" s="64"/>
      <c r="P107" s="64"/>
      <c r="Q107" s="64"/>
      <c r="R107" s="64"/>
      <c r="S107" s="64"/>
      <c r="T107" s="64"/>
      <c r="U107" s="64"/>
      <c r="V107" s="64"/>
    </row>
    <row r="108" spans="1:22" s="65" customFormat="1" ht="23.1" hidden="1" customHeight="1">
      <c r="A108" s="75" t="s">
        <v>23</v>
      </c>
      <c r="B108" s="88" t="e">
        <f>COUNTIF(#REF!,"학")</f>
        <v>#REF!</v>
      </c>
      <c r="C108" s="76" t="s">
        <v>5</v>
      </c>
      <c r="D108" s="125" t="e">
        <f>SUMIF(#REF!,"학",#REF!)</f>
        <v>#REF!</v>
      </c>
      <c r="E108" s="88" t="e">
        <f>COUNTIF(#REF!,"학국")</f>
        <v>#REF!</v>
      </c>
      <c r="F108" s="76" t="s">
        <v>5</v>
      </c>
      <c r="G108" s="125" t="e">
        <f>SUMIF(#REF!,"학국",#REF!)</f>
        <v>#REF!</v>
      </c>
      <c r="H108" s="88" t="e">
        <f>COUNTIF(#REF!,"학공")</f>
        <v>#REF!</v>
      </c>
      <c r="I108" s="76" t="s">
        <v>5</v>
      </c>
      <c r="J108" s="125" t="e">
        <f>SUMIF(#REF!,"학공",#REF!)</f>
        <v>#REF!</v>
      </c>
      <c r="K108" s="88" t="e">
        <f t="shared" si="6"/>
        <v>#REF!</v>
      </c>
      <c r="L108" s="76" t="s">
        <v>5</v>
      </c>
      <c r="M108" s="125" t="e">
        <f t="shared" si="7"/>
        <v>#REF!</v>
      </c>
      <c r="N108" s="77"/>
      <c r="O108" s="64"/>
      <c r="P108" s="64"/>
      <c r="Q108" s="64"/>
      <c r="R108" s="64"/>
      <c r="S108" s="64"/>
      <c r="T108" s="64"/>
      <c r="U108" s="64"/>
      <c r="V108" s="64"/>
    </row>
    <row r="109" spans="1:22" s="65" customFormat="1" ht="23.1" hidden="1" customHeight="1">
      <c r="A109" s="75" t="s">
        <v>41</v>
      </c>
      <c r="B109" s="88" t="e">
        <f>COUNTIF(#REF!,"철")</f>
        <v>#REF!</v>
      </c>
      <c r="C109" s="76" t="s">
        <v>5</v>
      </c>
      <c r="D109" s="125" t="e">
        <f>SUMIF(#REF!,"철",#REF!)</f>
        <v>#REF!</v>
      </c>
      <c r="E109" s="88" t="e">
        <f>COUNTIF(#REF!,"철국")</f>
        <v>#REF!</v>
      </c>
      <c r="F109" s="76" t="s">
        <v>5</v>
      </c>
      <c r="G109" s="125" t="e">
        <f>SUMIF(#REF!,"철국",#REF!)</f>
        <v>#REF!</v>
      </c>
      <c r="H109" s="88" t="e">
        <f>COUNTIF(#REF!,"철공")</f>
        <v>#REF!</v>
      </c>
      <c r="I109" s="76" t="s">
        <v>5</v>
      </c>
      <c r="J109" s="125" t="e">
        <f>SUMIF(#REF!,"철공",#REF!)</f>
        <v>#REF!</v>
      </c>
      <c r="K109" s="88" t="e">
        <f t="shared" si="6"/>
        <v>#REF!</v>
      </c>
      <c r="L109" s="76" t="s">
        <v>5</v>
      </c>
      <c r="M109" s="125" t="e">
        <f t="shared" si="7"/>
        <v>#REF!</v>
      </c>
      <c r="N109" s="77"/>
      <c r="O109" s="64"/>
      <c r="P109" s="64"/>
      <c r="Q109" s="64"/>
      <c r="R109" s="64"/>
      <c r="S109" s="64"/>
      <c r="T109" s="64"/>
      <c r="U109" s="64"/>
      <c r="V109" s="64"/>
    </row>
    <row r="110" spans="1:22" s="65" customFormat="1" ht="23.1" hidden="1" customHeight="1">
      <c r="A110" s="75" t="s">
        <v>17</v>
      </c>
      <c r="B110" s="88" t="e">
        <f>COUNTIF(#REF!,"묘")</f>
        <v>#REF!</v>
      </c>
      <c r="C110" s="76" t="s">
        <v>5</v>
      </c>
      <c r="D110" s="125" t="e">
        <f>SUMIF(#REF!,"묘",#REF!)</f>
        <v>#REF!</v>
      </c>
      <c r="E110" s="88" t="e">
        <f>COUNTIF(#REF!,"묘국")</f>
        <v>#REF!</v>
      </c>
      <c r="F110" s="76" t="s">
        <v>5</v>
      </c>
      <c r="G110" s="125" t="e">
        <f>SUMIF(#REF!,"묘국",#REF!)</f>
        <v>#REF!</v>
      </c>
      <c r="H110" s="88" t="e">
        <f>COUNTIF(#REF!,"묘공")</f>
        <v>#REF!</v>
      </c>
      <c r="I110" s="76" t="s">
        <v>5</v>
      </c>
      <c r="J110" s="125" t="e">
        <f>SUMIF(#REF!,"묘공",#REF!)</f>
        <v>#REF!</v>
      </c>
      <c r="K110" s="88" t="e">
        <f t="shared" si="6"/>
        <v>#REF!</v>
      </c>
      <c r="L110" s="76" t="s">
        <v>5</v>
      </c>
      <c r="M110" s="125" t="e">
        <f t="shared" si="7"/>
        <v>#REF!</v>
      </c>
      <c r="N110" s="77"/>
      <c r="O110" s="64"/>
      <c r="P110" s="64"/>
      <c r="Q110" s="64"/>
      <c r="R110" s="64"/>
      <c r="S110" s="64"/>
      <c r="T110" s="64"/>
      <c r="U110" s="64"/>
      <c r="V110" s="64"/>
    </row>
    <row r="111" spans="1:22" s="65" customFormat="1" ht="23.1" hidden="1" customHeight="1">
      <c r="A111" s="75" t="s">
        <v>20</v>
      </c>
      <c r="B111" s="88" t="e">
        <f>COUNTIF(#REF!,"수")</f>
        <v>#REF!</v>
      </c>
      <c r="C111" s="76" t="s">
        <v>5</v>
      </c>
      <c r="D111" s="125" t="e">
        <f>SUMIF(#REF!,"수",#REF!)</f>
        <v>#REF!</v>
      </c>
      <c r="E111" s="88" t="e">
        <f>COUNTIF(#REF!,"수국")</f>
        <v>#REF!</v>
      </c>
      <c r="F111" s="76" t="s">
        <v>5</v>
      </c>
      <c r="G111" s="125" t="e">
        <f>SUMIF(#REF!,"수국",#REF!)</f>
        <v>#REF!</v>
      </c>
      <c r="H111" s="88" t="e">
        <f>COUNTIF(#REF!,"수공")</f>
        <v>#REF!</v>
      </c>
      <c r="I111" s="76" t="s">
        <v>5</v>
      </c>
      <c r="J111" s="125" t="e">
        <f>SUMIF(#REF!,"수공",#REF!)</f>
        <v>#REF!</v>
      </c>
      <c r="K111" s="88" t="e">
        <f t="shared" si="6"/>
        <v>#REF!</v>
      </c>
      <c r="L111" s="76" t="s">
        <v>5</v>
      </c>
      <c r="M111" s="125" t="e">
        <f t="shared" si="7"/>
        <v>#REF!</v>
      </c>
      <c r="N111" s="77"/>
      <c r="O111" s="64"/>
      <c r="P111" s="64"/>
      <c r="Q111" s="64"/>
      <c r="R111" s="64"/>
      <c r="S111" s="64"/>
      <c r="T111" s="64"/>
      <c r="U111" s="64"/>
      <c r="V111" s="64"/>
    </row>
    <row r="112" spans="1:22" s="65" customFormat="1" ht="23.1" hidden="1" customHeight="1">
      <c r="A112" s="75" t="s">
        <v>19</v>
      </c>
      <c r="B112" s="88" t="e">
        <f>COUNTIF(#REF!,"잡")</f>
        <v>#REF!</v>
      </c>
      <c r="C112" s="76" t="s">
        <v>5</v>
      </c>
      <c r="D112" s="125" t="e">
        <f>SUMIF(#REF!,"잡",#REF!)</f>
        <v>#REF!</v>
      </c>
      <c r="E112" s="88" t="e">
        <f>COUNTIF(#REF!,"잡국")</f>
        <v>#REF!</v>
      </c>
      <c r="F112" s="76" t="s">
        <v>5</v>
      </c>
      <c r="G112" s="125" t="e">
        <f>SUMIF(#REF!,"잡국",#REF!)</f>
        <v>#REF!</v>
      </c>
      <c r="H112" s="88" t="e">
        <f>COUNTIF(#REF!,"잡공")</f>
        <v>#REF!</v>
      </c>
      <c r="I112" s="76" t="s">
        <v>5</v>
      </c>
      <c r="J112" s="125" t="e">
        <f>SUMIF(#REF!,"잡공",#REF!)</f>
        <v>#REF!</v>
      </c>
      <c r="K112" s="88" t="e">
        <f t="shared" si="6"/>
        <v>#REF!</v>
      </c>
      <c r="L112" s="76" t="s">
        <v>5</v>
      </c>
      <c r="M112" s="125" t="e">
        <f t="shared" si="7"/>
        <v>#REF!</v>
      </c>
      <c r="N112" s="77"/>
      <c r="O112" s="64"/>
      <c r="P112" s="64"/>
      <c r="Q112" s="64"/>
      <c r="R112" s="64"/>
      <c r="S112" s="64"/>
      <c r="T112" s="64"/>
      <c r="U112" s="64"/>
      <c r="V112" s="64"/>
    </row>
    <row r="113" spans="1:22" s="65" customFormat="1" ht="23.1" hidden="1" customHeight="1">
      <c r="A113" s="75" t="s">
        <v>42</v>
      </c>
      <c r="B113" s="88" t="e">
        <f>COUNTIF(#REF!,"종")</f>
        <v>#REF!</v>
      </c>
      <c r="C113" s="76" t="s">
        <v>5</v>
      </c>
      <c r="D113" s="125" t="e">
        <f>SUMIF(#REF!,"종",#REF!)</f>
        <v>#REF!</v>
      </c>
      <c r="E113" s="88" t="e">
        <f>COUNTIF(#REF!,"종국")</f>
        <v>#REF!</v>
      </c>
      <c r="F113" s="76" t="s">
        <v>5</v>
      </c>
      <c r="G113" s="125" t="e">
        <f>SUMIF(#REF!,"종국",#REF!)</f>
        <v>#REF!</v>
      </c>
      <c r="H113" s="88" t="e">
        <f>COUNTIF(#REF!,"종공")</f>
        <v>#REF!</v>
      </c>
      <c r="I113" s="76" t="s">
        <v>5</v>
      </c>
      <c r="J113" s="125" t="e">
        <f>SUMIF(#REF!,"종공",#REF!)</f>
        <v>#REF!</v>
      </c>
      <c r="K113" s="88" t="e">
        <f t="shared" si="6"/>
        <v>#REF!</v>
      </c>
      <c r="L113" s="76" t="s">
        <v>5</v>
      </c>
      <c r="M113" s="125" t="e">
        <f t="shared" si="7"/>
        <v>#REF!</v>
      </c>
      <c r="N113" s="77"/>
      <c r="O113" s="64"/>
      <c r="P113" s="64"/>
      <c r="Q113" s="64"/>
      <c r="R113" s="64"/>
      <c r="S113" s="64"/>
      <c r="T113" s="64"/>
      <c r="U113" s="64"/>
      <c r="V113" s="64"/>
    </row>
    <row r="114" spans="1:22" s="65" customFormat="1" ht="23.1" hidden="1" customHeight="1">
      <c r="A114" s="79" t="s">
        <v>43</v>
      </c>
      <c r="B114" s="88" t="e">
        <f>COUNTIF(#REF!,"염")</f>
        <v>#REF!</v>
      </c>
      <c r="C114" s="76" t="s">
        <v>5</v>
      </c>
      <c r="D114" s="125" t="e">
        <f>SUMIF(#REF!,"염",#REF!)</f>
        <v>#REF!</v>
      </c>
      <c r="E114" s="88" t="e">
        <f>COUNTIF(#REF!,"염국")</f>
        <v>#REF!</v>
      </c>
      <c r="F114" s="76" t="s">
        <v>5</v>
      </c>
      <c r="G114" s="125" t="e">
        <f>SUMIF(#REF!,"염국",#REF!)</f>
        <v>#REF!</v>
      </c>
      <c r="H114" s="88" t="e">
        <f>COUNTIF(#REF!,"염공")</f>
        <v>#REF!</v>
      </c>
      <c r="I114" s="76" t="s">
        <v>5</v>
      </c>
      <c r="J114" s="125" t="e">
        <f>SUMIF(#REF!,"염공",#REF!)</f>
        <v>#REF!</v>
      </c>
      <c r="K114" s="88" t="e">
        <f t="shared" si="6"/>
        <v>#REF!</v>
      </c>
      <c r="L114" s="76" t="s">
        <v>5</v>
      </c>
      <c r="M114" s="125" t="e">
        <f t="shared" si="7"/>
        <v>#REF!</v>
      </c>
      <c r="N114" s="77"/>
      <c r="O114" s="64"/>
      <c r="P114" s="64"/>
      <c r="Q114" s="64"/>
      <c r="R114" s="64"/>
      <c r="S114" s="64"/>
      <c r="T114" s="64"/>
      <c r="U114" s="64"/>
      <c r="V114" s="64"/>
    </row>
    <row r="115" spans="1:22" s="65" customFormat="1" ht="23.1" hidden="1" customHeight="1">
      <c r="A115" s="79" t="s">
        <v>44</v>
      </c>
      <c r="B115" s="88" t="e">
        <f>COUNTIF(#REF!,"공")</f>
        <v>#REF!</v>
      </c>
      <c r="C115" s="76" t="s">
        <v>5</v>
      </c>
      <c r="D115" s="125" t="e">
        <f>SUMIF(#REF!,"공",#REF!)</f>
        <v>#REF!</v>
      </c>
      <c r="E115" s="88" t="e">
        <f>COUNTIF(#REF!,"공국")</f>
        <v>#REF!</v>
      </c>
      <c r="F115" s="76" t="s">
        <v>5</v>
      </c>
      <c r="G115" s="125" t="e">
        <f>SUMIF(#REF!,"공국",#REF!)</f>
        <v>#REF!</v>
      </c>
      <c r="H115" s="88" t="e">
        <f>COUNTIF(#REF!,"공공")</f>
        <v>#REF!</v>
      </c>
      <c r="I115" s="76" t="s">
        <v>5</v>
      </c>
      <c r="J115" s="125" t="e">
        <f>SUMIF(#REF!,"공공",#REF!)</f>
        <v>#REF!</v>
      </c>
      <c r="K115" s="88" t="e">
        <f t="shared" si="6"/>
        <v>#REF!</v>
      </c>
      <c r="L115" s="76" t="s">
        <v>5</v>
      </c>
      <c r="M115" s="125" t="e">
        <f t="shared" si="7"/>
        <v>#REF!</v>
      </c>
      <c r="N115" s="77"/>
      <c r="O115" s="64"/>
      <c r="P115" s="64"/>
      <c r="Q115" s="64"/>
      <c r="R115" s="64"/>
      <c r="S115" s="64"/>
      <c r="T115" s="64"/>
      <c r="U115" s="64"/>
      <c r="V115" s="64"/>
    </row>
    <row r="116" spans="1:22" s="65" customFormat="1" ht="23.1" hidden="1" customHeight="1">
      <c r="A116" s="79" t="s">
        <v>45</v>
      </c>
      <c r="B116" s="88" t="e">
        <f>COUNTIF(#REF!,"체")</f>
        <v>#REF!</v>
      </c>
      <c r="C116" s="76" t="s">
        <v>5</v>
      </c>
      <c r="D116" s="125" t="e">
        <f>SUMIF(#REF!,"체",#REF!)</f>
        <v>#REF!</v>
      </c>
      <c r="E116" s="88" t="e">
        <f>COUNTIF(#REF!,"체국")</f>
        <v>#REF!</v>
      </c>
      <c r="F116" s="76" t="s">
        <v>5</v>
      </c>
      <c r="G116" s="125" t="e">
        <f>SUMIF(#REF!,"체국",#REF!)</f>
        <v>#REF!</v>
      </c>
      <c r="H116" s="88" t="e">
        <f>COUNTIF(#REF!,"체공")</f>
        <v>#REF!</v>
      </c>
      <c r="I116" s="76" t="s">
        <v>5</v>
      </c>
      <c r="J116" s="125" t="e">
        <f>SUMIF(#REF!,"체공",#REF!)</f>
        <v>#REF!</v>
      </c>
      <c r="K116" s="88" t="e">
        <f t="shared" si="6"/>
        <v>#REF!</v>
      </c>
      <c r="L116" s="76" t="s">
        <v>5</v>
      </c>
      <c r="M116" s="125" t="e">
        <f t="shared" si="7"/>
        <v>#REF!</v>
      </c>
      <c r="N116" s="77"/>
      <c r="O116" s="64"/>
      <c r="P116" s="64"/>
      <c r="Q116" s="64"/>
      <c r="R116" s="64"/>
      <c r="S116" s="64"/>
      <c r="T116" s="64"/>
      <c r="U116" s="64"/>
      <c r="V116" s="64"/>
    </row>
    <row r="117" spans="1:22" s="65" customFormat="1" ht="23.1" hidden="1" customHeight="1">
      <c r="A117" s="79" t="s">
        <v>46</v>
      </c>
      <c r="B117" s="88" t="e">
        <f>COUNTIF(#REF!,"원")</f>
        <v>#REF!</v>
      </c>
      <c r="C117" s="76" t="s">
        <v>5</v>
      </c>
      <c r="D117" s="125" t="e">
        <f>SUMIF(#REF!,"원",#REF!)</f>
        <v>#REF!</v>
      </c>
      <c r="E117" s="88" t="e">
        <f>COUNTIF(#REF!,"원국")</f>
        <v>#REF!</v>
      </c>
      <c r="F117" s="76" t="s">
        <v>5</v>
      </c>
      <c r="G117" s="125" t="e">
        <f>SUMIF(#REF!,"원국",#REF!)</f>
        <v>#REF!</v>
      </c>
      <c r="H117" s="88" t="e">
        <f>COUNTIF(#REF!,"원공")</f>
        <v>#REF!</v>
      </c>
      <c r="I117" s="76" t="s">
        <v>5</v>
      </c>
      <c r="J117" s="125" t="e">
        <f>SUMIF(#REF!,"원공",#REF!)</f>
        <v>#REF!</v>
      </c>
      <c r="K117" s="88" t="e">
        <f t="shared" si="6"/>
        <v>#REF!</v>
      </c>
      <c r="L117" s="76" t="s">
        <v>5</v>
      </c>
      <c r="M117" s="125" t="e">
        <f t="shared" si="7"/>
        <v>#REF!</v>
      </c>
      <c r="N117" s="77"/>
      <c r="O117" s="64"/>
      <c r="P117" s="64"/>
      <c r="Q117" s="64"/>
      <c r="R117" s="64"/>
      <c r="S117" s="64"/>
      <c r="T117" s="64"/>
      <c r="U117" s="64"/>
      <c r="V117" s="64"/>
    </row>
    <row r="118" spans="1:22" s="65" customFormat="1" ht="23.1" hidden="1" customHeight="1">
      <c r="A118" s="79" t="s">
        <v>56</v>
      </c>
      <c r="B118" s="88" t="e">
        <f>COUNTIF(#REF!,"주")</f>
        <v>#REF!</v>
      </c>
      <c r="C118" s="76" t="s">
        <v>5</v>
      </c>
      <c r="D118" s="125" t="e">
        <f>SUMIF(#REF!,"주",#REF!)</f>
        <v>#REF!</v>
      </c>
      <c r="E118" s="88" t="e">
        <f>COUNTIF(#REF!,"주국")</f>
        <v>#REF!</v>
      </c>
      <c r="F118" s="76" t="s">
        <v>5</v>
      </c>
      <c r="G118" s="125" t="e">
        <f>SUMIF(#REF!,"주국",#REF!)</f>
        <v>#REF!</v>
      </c>
      <c r="H118" s="88" t="e">
        <f>COUNTIF(#REF!,"주공")</f>
        <v>#REF!</v>
      </c>
      <c r="I118" s="76" t="s">
        <v>5</v>
      </c>
      <c r="J118" s="125" t="e">
        <f>SUMIF(#REF!,"주공",#REF!)</f>
        <v>#REF!</v>
      </c>
      <c r="K118" s="88" t="e">
        <f t="shared" si="6"/>
        <v>#REF!</v>
      </c>
      <c r="L118" s="76" t="s">
        <v>5</v>
      </c>
      <c r="M118" s="125" t="e">
        <f t="shared" si="7"/>
        <v>#REF!</v>
      </c>
      <c r="N118" s="77"/>
      <c r="O118" s="64"/>
      <c r="P118" s="64"/>
      <c r="Q118" s="64"/>
      <c r="R118" s="64"/>
      <c r="S118" s="64"/>
      <c r="T118" s="64"/>
      <c r="U118" s="64"/>
      <c r="V118" s="64"/>
    </row>
    <row r="119" spans="1:22" s="65" customFormat="1" ht="23.1" hidden="1" customHeight="1">
      <c r="A119" s="79" t="s">
        <v>57</v>
      </c>
      <c r="B119" s="88" t="e">
        <f>COUNTIF(#REF!,"창")</f>
        <v>#REF!</v>
      </c>
      <c r="C119" s="76" t="s">
        <v>5</v>
      </c>
      <c r="D119" s="125" t="e">
        <f>SUMIF(#REF!,"창",#REF!)</f>
        <v>#REF!</v>
      </c>
      <c r="E119" s="88" t="e">
        <f>COUNTIF(#REF!,"창국")</f>
        <v>#REF!</v>
      </c>
      <c r="F119" s="76" t="s">
        <v>5</v>
      </c>
      <c r="G119" s="125" t="e">
        <f>SUMIF(#REF!,"창국",#REF!)</f>
        <v>#REF!</v>
      </c>
      <c r="H119" s="88" t="e">
        <f>COUNTIF(#REF!,"창공")</f>
        <v>#REF!</v>
      </c>
      <c r="I119" s="76" t="s">
        <v>5</v>
      </c>
      <c r="J119" s="125" t="e">
        <f>SUMIF(#REF!,"창공",#REF!)</f>
        <v>#REF!</v>
      </c>
      <c r="K119" s="88" t="e">
        <f t="shared" si="6"/>
        <v>#REF!</v>
      </c>
      <c r="L119" s="76" t="s">
        <v>5</v>
      </c>
      <c r="M119" s="125" t="e">
        <f t="shared" si="7"/>
        <v>#REF!</v>
      </c>
      <c r="N119" s="77"/>
      <c r="O119" s="64"/>
      <c r="P119" s="64"/>
      <c r="Q119" s="64"/>
      <c r="R119" s="64"/>
      <c r="S119" s="64"/>
      <c r="T119" s="64"/>
      <c r="U119" s="64"/>
      <c r="V119" s="64"/>
    </row>
    <row r="120" spans="1:22" s="65" customFormat="1" ht="23.1" hidden="1" customHeight="1">
      <c r="A120" s="80" t="s">
        <v>24</v>
      </c>
      <c r="B120" s="89" t="e">
        <f>COUNTIF(#REF!," ")</f>
        <v>#REF!</v>
      </c>
      <c r="C120" s="81" t="s">
        <v>5</v>
      </c>
      <c r="D120" s="126" t="e">
        <f>SUMIF(#REF!," ",#REF!)</f>
        <v>#REF!</v>
      </c>
      <c r="E120" s="89" t="e">
        <f>COUNTIF(#REF!," 국")</f>
        <v>#REF!</v>
      </c>
      <c r="F120" s="81" t="s">
        <v>5</v>
      </c>
      <c r="G120" s="126" t="e">
        <f>SUMIF(#REF!," 국",#REF!)</f>
        <v>#REF!</v>
      </c>
      <c r="H120" s="89" t="e">
        <f>COUNTIF(#REF!," 공")</f>
        <v>#REF!</v>
      </c>
      <c r="I120" s="81" t="s">
        <v>5</v>
      </c>
      <c r="J120" s="126" t="e">
        <f>SUMIF(#REF!," 공",#REF!)</f>
        <v>#REF!</v>
      </c>
      <c r="K120" s="89" t="e">
        <f t="shared" si="6"/>
        <v>#REF!</v>
      </c>
      <c r="L120" s="81" t="s">
        <v>5</v>
      </c>
      <c r="M120" s="126" t="e">
        <f t="shared" si="7"/>
        <v>#REF!</v>
      </c>
      <c r="N120" s="82"/>
      <c r="O120" s="64"/>
      <c r="P120" s="64"/>
      <c r="Q120" s="64"/>
      <c r="R120" s="64"/>
      <c r="S120" s="64"/>
      <c r="T120" s="64"/>
      <c r="U120" s="64"/>
      <c r="V120" s="64"/>
    </row>
    <row r="121" spans="1:22" s="59" customFormat="1" ht="20.100000000000001" hidden="1" customHeight="1">
      <c r="A121" s="56" t="e">
        <f>IF(EXACT(O125,O126),,"검산확인요!!!")</f>
        <v>#REF!</v>
      </c>
      <c r="B121" s="57"/>
      <c r="C121" s="57"/>
      <c r="D121" s="95"/>
      <c r="E121" s="57"/>
      <c r="F121" s="57"/>
      <c r="G121" s="95"/>
      <c r="H121" s="57"/>
      <c r="I121" s="57"/>
      <c r="J121" s="95"/>
      <c r="K121" s="86" t="e">
        <f>IF(ISBLANK(#REF!),,#REF!)</f>
        <v>#REF!</v>
      </c>
      <c r="L121" s="58"/>
      <c r="M121" s="97"/>
      <c r="N121" s="53"/>
    </row>
    <row r="122" spans="1:22" s="59" customFormat="1" ht="9.9499999999999993" hidden="1" customHeight="1">
      <c r="A122" s="56"/>
      <c r="B122" s="57"/>
      <c r="C122" s="57"/>
      <c r="D122" s="95"/>
      <c r="E122" s="57"/>
      <c r="F122" s="57"/>
      <c r="G122" s="95"/>
      <c r="H122" s="57"/>
      <c r="I122" s="57"/>
      <c r="J122" s="95"/>
      <c r="K122" s="57"/>
      <c r="L122" s="57"/>
      <c r="M122" s="95"/>
      <c r="N122" s="57"/>
    </row>
    <row r="123" spans="1:22" s="65" customFormat="1" ht="27.95" hidden="1" customHeight="1">
      <c r="A123" s="60" t="s">
        <v>2</v>
      </c>
      <c r="B123" s="101" t="s">
        <v>3</v>
      </c>
      <c r="C123" s="102"/>
      <c r="D123" s="103"/>
      <c r="E123" s="101" t="s">
        <v>47</v>
      </c>
      <c r="F123" s="102"/>
      <c r="G123" s="103"/>
      <c r="H123" s="101" t="s">
        <v>58</v>
      </c>
      <c r="I123" s="102"/>
      <c r="J123" s="103"/>
      <c r="K123" s="101" t="s">
        <v>48</v>
      </c>
      <c r="L123" s="102"/>
      <c r="M123" s="103"/>
      <c r="N123" s="63" t="s">
        <v>22</v>
      </c>
      <c r="O123" s="64"/>
      <c r="S123" s="64"/>
      <c r="T123" s="64"/>
      <c r="U123" s="64"/>
      <c r="V123" s="64"/>
    </row>
    <row r="124" spans="1:22" s="65" customFormat="1" ht="27.95" hidden="1" customHeight="1">
      <c r="A124" s="66"/>
      <c r="B124" s="98" t="s">
        <v>4</v>
      </c>
      <c r="C124" s="99" t="s">
        <v>5</v>
      </c>
      <c r="D124" s="100" t="s">
        <v>49</v>
      </c>
      <c r="E124" s="98" t="s">
        <v>4</v>
      </c>
      <c r="F124" s="99" t="s">
        <v>5</v>
      </c>
      <c r="G124" s="100" t="s">
        <v>49</v>
      </c>
      <c r="H124" s="98" t="s">
        <v>4</v>
      </c>
      <c r="I124" s="99" t="s">
        <v>5</v>
      </c>
      <c r="J124" s="100" t="s">
        <v>49</v>
      </c>
      <c r="K124" s="98" t="s">
        <v>4</v>
      </c>
      <c r="L124" s="99" t="s">
        <v>5</v>
      </c>
      <c r="M124" s="100" t="s">
        <v>49</v>
      </c>
      <c r="N124" s="69"/>
      <c r="P124" s="64"/>
      <c r="Q124" s="70" t="s">
        <v>50</v>
      </c>
      <c r="R124" s="70" t="s">
        <v>51</v>
      </c>
      <c r="S124" s="70" t="s">
        <v>52</v>
      </c>
      <c r="T124" s="70" t="s">
        <v>53</v>
      </c>
      <c r="U124" s="64"/>
      <c r="V124" s="64"/>
    </row>
    <row r="125" spans="1:22" s="65" customFormat="1" ht="23.1" hidden="1" customHeight="1">
      <c r="A125" s="71" t="s">
        <v>3</v>
      </c>
      <c r="B125" s="87" t="e">
        <f>SUM(B126:B150)</f>
        <v>#REF!</v>
      </c>
      <c r="C125" s="72" t="s">
        <v>5</v>
      </c>
      <c r="D125" s="124" t="e">
        <f>SUM(D126:D150)</f>
        <v>#REF!</v>
      </c>
      <c r="E125" s="87" t="e">
        <f>SUM(E126:E150)</f>
        <v>#REF!</v>
      </c>
      <c r="F125" s="72" t="s">
        <v>5</v>
      </c>
      <c r="G125" s="124" t="e">
        <f>SUM(G126:G150)</f>
        <v>#REF!</v>
      </c>
      <c r="H125" s="87" t="e">
        <f>SUM(H126:H150)</f>
        <v>#REF!</v>
      </c>
      <c r="I125" s="72" t="s">
        <v>5</v>
      </c>
      <c r="J125" s="124" t="e">
        <f>SUM(J126:J150)</f>
        <v>#REF!</v>
      </c>
      <c r="K125" s="87" t="e">
        <f>SUM(K126:K150)</f>
        <v>#REF!</v>
      </c>
      <c r="L125" s="72" t="s">
        <v>5</v>
      </c>
      <c r="M125" s="124" t="e">
        <f>SUM(M126:M150)</f>
        <v>#REF!</v>
      </c>
      <c r="N125" s="73"/>
      <c r="O125" s="64" t="e">
        <f>IF(EXACT(Q125,T125),"맞음","틀림")</f>
        <v>#REF!</v>
      </c>
      <c r="P125" s="64" t="s">
        <v>4</v>
      </c>
      <c r="Q125" s="74" t="e">
        <f>SUM(B126:B150)</f>
        <v>#REF!</v>
      </c>
      <c r="R125" s="74" t="e">
        <f>SUM(H126:H150)</f>
        <v>#REF!</v>
      </c>
      <c r="S125" s="74" t="e">
        <f>SUM(K126:K150)</f>
        <v>#REF!</v>
      </c>
      <c r="T125" s="74" t="e">
        <f>K125+H125</f>
        <v>#REF!</v>
      </c>
      <c r="U125" s="64"/>
      <c r="V125" s="64"/>
    </row>
    <row r="126" spans="1:22" s="65" customFormat="1" ht="23.1" hidden="1" customHeight="1">
      <c r="A126" s="75" t="s">
        <v>7</v>
      </c>
      <c r="B126" s="88" t="e">
        <f>COUNTIF(#REF!,"전")</f>
        <v>#REF!</v>
      </c>
      <c r="C126" s="76" t="s">
        <v>5</v>
      </c>
      <c r="D126" s="125" t="e">
        <f>SUMIF(#REF!,"전",#REF!)</f>
        <v>#REF!</v>
      </c>
      <c r="E126" s="88" t="e">
        <f>COUNTIF(#REF!,"전국")</f>
        <v>#REF!</v>
      </c>
      <c r="F126" s="76" t="s">
        <v>5</v>
      </c>
      <c r="G126" s="125" t="e">
        <f>SUMIF(#REF!,"전국",#REF!)</f>
        <v>#REF!</v>
      </c>
      <c r="H126" s="88" t="e">
        <f>COUNTIF(#REF!,"전공")</f>
        <v>#REF!</v>
      </c>
      <c r="I126" s="76" t="s">
        <v>5</v>
      </c>
      <c r="J126" s="125" t="e">
        <f>SUMIF(#REF!,"전공",#REF!)</f>
        <v>#REF!</v>
      </c>
      <c r="K126" s="88" t="e">
        <f t="shared" ref="K126:K150" si="8">B126-H126</f>
        <v>#REF!</v>
      </c>
      <c r="L126" s="76" t="s">
        <v>5</v>
      </c>
      <c r="M126" s="125" t="e">
        <f t="shared" ref="M126:M150" si="9">D126-J126</f>
        <v>#REF!</v>
      </c>
      <c r="N126" s="77"/>
      <c r="O126" s="64" t="e">
        <f>IF(EXACT(Q126,T126),"맞음","틀림")</f>
        <v>#REF!</v>
      </c>
      <c r="P126" s="64" t="s">
        <v>54</v>
      </c>
      <c r="Q126" s="74" t="e">
        <f>SUM(D126:D150)</f>
        <v>#REF!</v>
      </c>
      <c r="R126" s="74" t="e">
        <f>SUM(J126:J150)</f>
        <v>#REF!</v>
      </c>
      <c r="S126" s="74" t="e">
        <f>SUM(M126:M150)</f>
        <v>#REF!</v>
      </c>
      <c r="T126" s="74" t="e">
        <f>J125+M125</f>
        <v>#REF!</v>
      </c>
      <c r="U126" s="64"/>
      <c r="V126" s="64"/>
    </row>
    <row r="127" spans="1:22" s="65" customFormat="1" ht="23.1" hidden="1" customHeight="1">
      <c r="A127" s="75" t="s">
        <v>8</v>
      </c>
      <c r="B127" s="88" t="e">
        <f>COUNTIF(#REF!,"답")</f>
        <v>#REF!</v>
      </c>
      <c r="C127" s="76" t="s">
        <v>5</v>
      </c>
      <c r="D127" s="125" t="e">
        <f>SUMIF(#REF!,"답",#REF!)</f>
        <v>#REF!</v>
      </c>
      <c r="E127" s="88" t="e">
        <f>COUNTIF(#REF!,"답국")</f>
        <v>#REF!</v>
      </c>
      <c r="F127" s="76" t="s">
        <v>5</v>
      </c>
      <c r="G127" s="125" t="e">
        <f>SUMIF(#REF!,"답국",#REF!)</f>
        <v>#REF!</v>
      </c>
      <c r="H127" s="88" t="e">
        <f>COUNTIF(#REF!,"답공")</f>
        <v>#REF!</v>
      </c>
      <c r="I127" s="76" t="s">
        <v>5</v>
      </c>
      <c r="J127" s="125" t="e">
        <f>SUMIF(#REF!,"답공",#REF!)</f>
        <v>#REF!</v>
      </c>
      <c r="K127" s="88" t="e">
        <f t="shared" si="8"/>
        <v>#REF!</v>
      </c>
      <c r="L127" s="76" t="s">
        <v>5</v>
      </c>
      <c r="M127" s="125" t="e">
        <f t="shared" si="9"/>
        <v>#REF!</v>
      </c>
      <c r="N127" s="77"/>
      <c r="Q127" s="64"/>
      <c r="S127" s="64"/>
      <c r="U127" s="64"/>
      <c r="V127" s="64"/>
    </row>
    <row r="128" spans="1:22" s="65" customFormat="1" ht="23.1" hidden="1" customHeight="1">
      <c r="A128" s="78" t="s">
        <v>9</v>
      </c>
      <c r="B128" s="88" t="e">
        <f>COUNTIF(#REF!,"임")</f>
        <v>#REF!</v>
      </c>
      <c r="C128" s="76" t="s">
        <v>5</v>
      </c>
      <c r="D128" s="125" t="e">
        <f>SUMIF(#REF!,"임",#REF!)</f>
        <v>#REF!</v>
      </c>
      <c r="E128" s="88" t="e">
        <f>COUNTIF(#REF!,"임국")</f>
        <v>#REF!</v>
      </c>
      <c r="F128" s="76" t="s">
        <v>5</v>
      </c>
      <c r="G128" s="125" t="e">
        <f>SUMIF(#REF!,"임국",#REF!)</f>
        <v>#REF!</v>
      </c>
      <c r="H128" s="88" t="e">
        <f>COUNTIF(#REF!,"임공")</f>
        <v>#REF!</v>
      </c>
      <c r="I128" s="76" t="s">
        <v>5</v>
      </c>
      <c r="J128" s="125" t="e">
        <f>SUMIF(#REF!,"임공",#REF!)</f>
        <v>#REF!</v>
      </c>
      <c r="K128" s="88" t="e">
        <f t="shared" si="8"/>
        <v>#REF!</v>
      </c>
      <c r="L128" s="76" t="s">
        <v>5</v>
      </c>
      <c r="M128" s="125" t="e">
        <f t="shared" si="9"/>
        <v>#REF!</v>
      </c>
      <c r="N128" s="77"/>
      <c r="Q128" s="64"/>
      <c r="S128" s="64"/>
      <c r="U128" s="64"/>
      <c r="V128" s="64"/>
    </row>
    <row r="129" spans="1:22" s="65" customFormat="1" ht="23.1" hidden="1" customHeight="1">
      <c r="A129" s="75" t="s">
        <v>10</v>
      </c>
      <c r="B129" s="88" t="e">
        <f>COUNTIF(#REF!,"대")</f>
        <v>#REF!</v>
      </c>
      <c r="C129" s="76" t="s">
        <v>5</v>
      </c>
      <c r="D129" s="125" t="e">
        <f>SUMIF(#REF!,"대",#REF!)</f>
        <v>#REF!</v>
      </c>
      <c r="E129" s="88" t="e">
        <f>COUNTIF(#REF!,"대국")</f>
        <v>#REF!</v>
      </c>
      <c r="F129" s="76" t="s">
        <v>5</v>
      </c>
      <c r="G129" s="125" t="e">
        <f>SUMIF(#REF!,"대국",#REF!)</f>
        <v>#REF!</v>
      </c>
      <c r="H129" s="88" t="e">
        <f>COUNTIF(#REF!,"대공")</f>
        <v>#REF!</v>
      </c>
      <c r="I129" s="76" t="s">
        <v>5</v>
      </c>
      <c r="J129" s="125" t="e">
        <f>SUMIF(#REF!,"대공",#REF!)</f>
        <v>#REF!</v>
      </c>
      <c r="K129" s="88" t="e">
        <f t="shared" si="8"/>
        <v>#REF!</v>
      </c>
      <c r="L129" s="76" t="s">
        <v>5</v>
      </c>
      <c r="M129" s="125" t="e">
        <f t="shared" si="9"/>
        <v>#REF!</v>
      </c>
      <c r="N129" s="77"/>
      <c r="O129" s="64"/>
      <c r="P129" s="64"/>
      <c r="Q129" s="64"/>
      <c r="R129" s="64"/>
      <c r="S129" s="64"/>
      <c r="T129" s="64"/>
      <c r="U129" s="64"/>
      <c r="V129" s="64"/>
    </row>
    <row r="130" spans="1:22" s="65" customFormat="1" ht="23.1" hidden="1" customHeight="1">
      <c r="A130" s="75" t="s">
        <v>11</v>
      </c>
      <c r="B130" s="88" t="e">
        <f>COUNTIF(#REF!,"도")</f>
        <v>#REF!</v>
      </c>
      <c r="C130" s="76" t="s">
        <v>5</v>
      </c>
      <c r="D130" s="125" t="e">
        <f>SUMIF(#REF!,"도",#REF!)</f>
        <v>#REF!</v>
      </c>
      <c r="E130" s="88" t="e">
        <f>COUNTIF(#REF!,"도국")</f>
        <v>#REF!</v>
      </c>
      <c r="F130" s="76" t="s">
        <v>5</v>
      </c>
      <c r="G130" s="125" t="e">
        <f>SUMIF(#REF!,"도국",#REF!)</f>
        <v>#REF!</v>
      </c>
      <c r="H130" s="88" t="e">
        <f>COUNTIF(#REF!,"도공")</f>
        <v>#REF!</v>
      </c>
      <c r="I130" s="76" t="s">
        <v>5</v>
      </c>
      <c r="J130" s="125" t="e">
        <f>SUMIF(#REF!,"도공",#REF!)</f>
        <v>#REF!</v>
      </c>
      <c r="K130" s="88" t="e">
        <f t="shared" si="8"/>
        <v>#REF!</v>
      </c>
      <c r="L130" s="76" t="s">
        <v>5</v>
      </c>
      <c r="M130" s="125" t="e">
        <f t="shared" si="9"/>
        <v>#REF!</v>
      </c>
      <c r="N130" s="77"/>
      <c r="O130" s="64"/>
      <c r="P130" s="64"/>
      <c r="Q130" s="64"/>
      <c r="R130" s="64"/>
      <c r="S130" s="64"/>
      <c r="T130" s="64"/>
      <c r="U130" s="64"/>
      <c r="V130" s="64"/>
    </row>
    <row r="131" spans="1:22" s="65" customFormat="1" ht="23.1" hidden="1" customHeight="1">
      <c r="A131" s="75" t="s">
        <v>13</v>
      </c>
      <c r="B131" s="88" t="e">
        <f>COUNTIF(#REF!,"구")</f>
        <v>#REF!</v>
      </c>
      <c r="C131" s="76" t="s">
        <v>5</v>
      </c>
      <c r="D131" s="125" t="e">
        <f>SUMIF(#REF!,"구",#REF!)</f>
        <v>#REF!</v>
      </c>
      <c r="E131" s="88" t="e">
        <f>COUNTIF(#REF!,"구국")</f>
        <v>#REF!</v>
      </c>
      <c r="F131" s="76" t="s">
        <v>5</v>
      </c>
      <c r="G131" s="125" t="e">
        <f>SUMIF(#REF!,"구국",#REF!)</f>
        <v>#REF!</v>
      </c>
      <c r="H131" s="88" t="e">
        <f>COUNTIF(#REF!,"구공")</f>
        <v>#REF!</v>
      </c>
      <c r="I131" s="76" t="s">
        <v>5</v>
      </c>
      <c r="J131" s="125" t="e">
        <f>SUMIF(#REF!,"구공",#REF!)</f>
        <v>#REF!</v>
      </c>
      <c r="K131" s="88" t="e">
        <f t="shared" si="8"/>
        <v>#REF!</v>
      </c>
      <c r="L131" s="76" t="s">
        <v>5</v>
      </c>
      <c r="M131" s="125" t="e">
        <f t="shared" si="9"/>
        <v>#REF!</v>
      </c>
      <c r="N131" s="77"/>
      <c r="O131" s="64"/>
      <c r="P131" s="64"/>
      <c r="Q131" s="64"/>
      <c r="R131" s="64"/>
      <c r="S131" s="64"/>
      <c r="T131" s="64"/>
      <c r="U131" s="64"/>
      <c r="V131" s="64"/>
    </row>
    <row r="132" spans="1:22" s="65" customFormat="1" ht="23.1" hidden="1" customHeight="1">
      <c r="A132" s="75" t="s">
        <v>12</v>
      </c>
      <c r="B132" s="88" t="e">
        <f>COUNTIF(#REF!,"천")</f>
        <v>#REF!</v>
      </c>
      <c r="C132" s="76" t="s">
        <v>5</v>
      </c>
      <c r="D132" s="125" t="e">
        <f>SUMIF(#REF!,"천",#REF!)</f>
        <v>#REF!</v>
      </c>
      <c r="E132" s="88" t="e">
        <f>COUNTIF(#REF!,"천국")</f>
        <v>#REF!</v>
      </c>
      <c r="F132" s="76" t="s">
        <v>5</v>
      </c>
      <c r="G132" s="125" t="e">
        <f>SUMIF(#REF!,"천국",#REF!)</f>
        <v>#REF!</v>
      </c>
      <c r="H132" s="88" t="e">
        <f>COUNTIF(#REF!,"천공")</f>
        <v>#REF!</v>
      </c>
      <c r="I132" s="76" t="s">
        <v>5</v>
      </c>
      <c r="J132" s="125" t="e">
        <f>SUMIF(#REF!,"천공",#REF!)</f>
        <v>#REF!</v>
      </c>
      <c r="K132" s="88" t="e">
        <f t="shared" si="8"/>
        <v>#REF!</v>
      </c>
      <c r="L132" s="76" t="s">
        <v>5</v>
      </c>
      <c r="M132" s="125" t="e">
        <f t="shared" si="9"/>
        <v>#REF!</v>
      </c>
      <c r="N132" s="77"/>
      <c r="O132" s="64"/>
      <c r="P132" s="64"/>
      <c r="Q132" s="64"/>
      <c r="R132" s="64"/>
      <c r="S132" s="64"/>
      <c r="T132" s="64"/>
      <c r="U132" s="64"/>
      <c r="V132" s="64"/>
    </row>
    <row r="133" spans="1:22" s="65" customFormat="1" ht="23.1" hidden="1" customHeight="1">
      <c r="A133" s="75" t="s">
        <v>15</v>
      </c>
      <c r="B133" s="88" t="e">
        <f>COUNTIF(#REF!,"유")</f>
        <v>#REF!</v>
      </c>
      <c r="C133" s="76" t="s">
        <v>5</v>
      </c>
      <c r="D133" s="125" t="e">
        <f>SUMIF(#REF!,"유",#REF!)</f>
        <v>#REF!</v>
      </c>
      <c r="E133" s="88" t="e">
        <f>COUNTIF(#REF!,"유국")</f>
        <v>#REF!</v>
      </c>
      <c r="F133" s="76" t="s">
        <v>5</v>
      </c>
      <c r="G133" s="125" t="e">
        <f>SUMIF(#REF!,"유국",#REF!)</f>
        <v>#REF!</v>
      </c>
      <c r="H133" s="88" t="e">
        <f>COUNTIF(#REF!,"유공")</f>
        <v>#REF!</v>
      </c>
      <c r="I133" s="76" t="s">
        <v>5</v>
      </c>
      <c r="J133" s="125" t="e">
        <f>SUMIF(#REF!,"유공",#REF!)</f>
        <v>#REF!</v>
      </c>
      <c r="K133" s="88" t="e">
        <f t="shared" si="8"/>
        <v>#REF!</v>
      </c>
      <c r="L133" s="76" t="s">
        <v>5</v>
      </c>
      <c r="M133" s="125" t="e">
        <f t="shared" si="9"/>
        <v>#REF!</v>
      </c>
      <c r="N133" s="77"/>
      <c r="O133" s="64"/>
      <c r="P133" s="64"/>
      <c r="Q133" s="64"/>
      <c r="R133" s="64"/>
      <c r="S133" s="64"/>
      <c r="T133" s="64"/>
      <c r="U133" s="64"/>
      <c r="V133" s="64"/>
    </row>
    <row r="134" spans="1:22" s="65" customFormat="1" ht="23.1" hidden="1" customHeight="1">
      <c r="A134" s="75" t="s">
        <v>14</v>
      </c>
      <c r="B134" s="88" t="e">
        <f>COUNTIF(#REF!,"제")</f>
        <v>#REF!</v>
      </c>
      <c r="C134" s="76" t="s">
        <v>5</v>
      </c>
      <c r="D134" s="125" t="e">
        <f>SUMIF(#REF!,"제",#REF!)</f>
        <v>#REF!</v>
      </c>
      <c r="E134" s="88" t="e">
        <f>COUNTIF(#REF!,"제국")</f>
        <v>#REF!</v>
      </c>
      <c r="F134" s="76" t="s">
        <v>5</v>
      </c>
      <c r="G134" s="125" t="e">
        <f>SUMIF(#REF!,"제국",#REF!)</f>
        <v>#REF!</v>
      </c>
      <c r="H134" s="88" t="e">
        <f>COUNTIF(#REF!,"제공")</f>
        <v>#REF!</v>
      </c>
      <c r="I134" s="76" t="s">
        <v>5</v>
      </c>
      <c r="J134" s="125" t="e">
        <f>SUMIF(#REF!,"제공",#REF!)</f>
        <v>#REF!</v>
      </c>
      <c r="K134" s="88" t="e">
        <f t="shared" si="8"/>
        <v>#REF!</v>
      </c>
      <c r="L134" s="76" t="s">
        <v>5</v>
      </c>
      <c r="M134" s="125" t="e">
        <f t="shared" si="9"/>
        <v>#REF!</v>
      </c>
      <c r="N134" s="77"/>
      <c r="O134" s="64"/>
      <c r="P134" s="64"/>
      <c r="Q134" s="64"/>
      <c r="R134" s="64"/>
      <c r="S134" s="64"/>
      <c r="T134" s="64"/>
      <c r="U134" s="64"/>
      <c r="V134" s="64"/>
    </row>
    <row r="135" spans="1:22" s="65" customFormat="1" ht="23.1" hidden="1" customHeight="1">
      <c r="A135" s="75" t="s">
        <v>16</v>
      </c>
      <c r="B135" s="88" t="e">
        <f>COUNTIF(#REF!,"과")</f>
        <v>#REF!</v>
      </c>
      <c r="C135" s="76" t="s">
        <v>5</v>
      </c>
      <c r="D135" s="125" t="e">
        <f>SUMIF(#REF!,"과",#REF!)</f>
        <v>#REF!</v>
      </c>
      <c r="E135" s="88" t="e">
        <f>COUNTIF(#REF!,"과국")</f>
        <v>#REF!</v>
      </c>
      <c r="F135" s="76" t="s">
        <v>5</v>
      </c>
      <c r="G135" s="125" t="e">
        <f>SUMIF(#REF!,"과국",#REF!)</f>
        <v>#REF!</v>
      </c>
      <c r="H135" s="88" t="e">
        <f>COUNTIF(#REF!,"과공")</f>
        <v>#REF!</v>
      </c>
      <c r="I135" s="76" t="s">
        <v>5</v>
      </c>
      <c r="J135" s="125" t="e">
        <f>SUMIF(#REF!,"과공",#REF!)</f>
        <v>#REF!</v>
      </c>
      <c r="K135" s="88" t="e">
        <f t="shared" si="8"/>
        <v>#REF!</v>
      </c>
      <c r="L135" s="76" t="s">
        <v>5</v>
      </c>
      <c r="M135" s="125" t="e">
        <f t="shared" si="9"/>
        <v>#REF!</v>
      </c>
      <c r="N135" s="77"/>
      <c r="O135" s="64"/>
      <c r="P135" s="64"/>
      <c r="Q135" s="64"/>
      <c r="R135" s="64"/>
      <c r="S135" s="64"/>
      <c r="T135" s="64"/>
      <c r="U135" s="64"/>
      <c r="V135" s="64"/>
    </row>
    <row r="136" spans="1:22" s="65" customFormat="1" ht="23.1" hidden="1" customHeight="1">
      <c r="A136" s="75" t="s">
        <v>21</v>
      </c>
      <c r="B136" s="88" t="e">
        <f>COUNTIF(#REF!,"장")</f>
        <v>#REF!</v>
      </c>
      <c r="C136" s="76" t="s">
        <v>5</v>
      </c>
      <c r="D136" s="125" t="e">
        <f>SUMIF(#REF!,"장",#REF!)</f>
        <v>#REF!</v>
      </c>
      <c r="E136" s="88" t="e">
        <f>COUNTIF(#REF!,"장국")</f>
        <v>#REF!</v>
      </c>
      <c r="F136" s="76" t="s">
        <v>5</v>
      </c>
      <c r="G136" s="125" t="e">
        <f>SUMIF(#REF!,"장국",#REF!)</f>
        <v>#REF!</v>
      </c>
      <c r="H136" s="88" t="e">
        <f>COUNTIF(#REF!,"장공")</f>
        <v>#REF!</v>
      </c>
      <c r="I136" s="76" t="s">
        <v>5</v>
      </c>
      <c r="J136" s="125" t="e">
        <f>SUMIF(#REF!,"장공",#REF!)</f>
        <v>#REF!</v>
      </c>
      <c r="K136" s="88" t="e">
        <f t="shared" si="8"/>
        <v>#REF!</v>
      </c>
      <c r="L136" s="76" t="s">
        <v>5</v>
      </c>
      <c r="M136" s="125" t="e">
        <f t="shared" si="9"/>
        <v>#REF!</v>
      </c>
      <c r="N136" s="77"/>
      <c r="O136" s="64"/>
      <c r="P136" s="64"/>
      <c r="Q136" s="64"/>
      <c r="R136" s="64"/>
      <c r="S136" s="64"/>
      <c r="T136" s="64"/>
      <c r="U136" s="64"/>
      <c r="V136" s="64"/>
    </row>
    <row r="137" spans="1:22" s="65" customFormat="1" ht="23.1" hidden="1" customHeight="1">
      <c r="A137" s="75" t="s">
        <v>18</v>
      </c>
      <c r="B137" s="88" t="e">
        <f>COUNTIF(#REF!,"목")</f>
        <v>#REF!</v>
      </c>
      <c r="C137" s="76" t="s">
        <v>5</v>
      </c>
      <c r="D137" s="125" t="e">
        <f>SUMIF(#REF!,"목",#REF!)</f>
        <v>#REF!</v>
      </c>
      <c r="E137" s="88" t="e">
        <f>COUNTIF(#REF!,"목국")</f>
        <v>#REF!</v>
      </c>
      <c r="F137" s="76" t="s">
        <v>5</v>
      </c>
      <c r="G137" s="125" t="e">
        <f>SUMIF(#REF!,"목국",#REF!)</f>
        <v>#REF!</v>
      </c>
      <c r="H137" s="88" t="e">
        <f>COUNTIF(#REF!,"목공")</f>
        <v>#REF!</v>
      </c>
      <c r="I137" s="76" t="s">
        <v>5</v>
      </c>
      <c r="J137" s="125" t="e">
        <f>SUMIF(#REF!,"목공",#REF!)</f>
        <v>#REF!</v>
      </c>
      <c r="K137" s="88" t="e">
        <f t="shared" si="8"/>
        <v>#REF!</v>
      </c>
      <c r="L137" s="76" t="s">
        <v>5</v>
      </c>
      <c r="M137" s="125" t="e">
        <f t="shared" si="9"/>
        <v>#REF!</v>
      </c>
      <c r="N137" s="77"/>
      <c r="O137" s="64"/>
      <c r="P137" s="64"/>
      <c r="Q137" s="64"/>
      <c r="R137" s="64"/>
      <c r="S137" s="64"/>
      <c r="T137" s="64"/>
      <c r="U137" s="64"/>
      <c r="V137" s="64"/>
    </row>
    <row r="138" spans="1:22" s="65" customFormat="1" ht="23.1" hidden="1" customHeight="1">
      <c r="A138" s="75" t="s">
        <v>23</v>
      </c>
      <c r="B138" s="88" t="e">
        <f>COUNTIF(#REF!,"학")</f>
        <v>#REF!</v>
      </c>
      <c r="C138" s="76" t="s">
        <v>5</v>
      </c>
      <c r="D138" s="125" t="e">
        <f>SUMIF(#REF!,"학",#REF!)</f>
        <v>#REF!</v>
      </c>
      <c r="E138" s="88" t="e">
        <f>COUNTIF(#REF!,"학국")</f>
        <v>#REF!</v>
      </c>
      <c r="F138" s="76" t="s">
        <v>5</v>
      </c>
      <c r="G138" s="125" t="e">
        <f>SUMIF(#REF!,"학국",#REF!)</f>
        <v>#REF!</v>
      </c>
      <c r="H138" s="88" t="e">
        <f>COUNTIF(#REF!,"학공")</f>
        <v>#REF!</v>
      </c>
      <c r="I138" s="76" t="s">
        <v>5</v>
      </c>
      <c r="J138" s="125" t="e">
        <f>SUMIF(#REF!,"학공",#REF!)</f>
        <v>#REF!</v>
      </c>
      <c r="K138" s="88" t="e">
        <f t="shared" si="8"/>
        <v>#REF!</v>
      </c>
      <c r="L138" s="76" t="s">
        <v>5</v>
      </c>
      <c r="M138" s="125" t="e">
        <f t="shared" si="9"/>
        <v>#REF!</v>
      </c>
      <c r="N138" s="77"/>
      <c r="O138" s="64"/>
      <c r="P138" s="64"/>
      <c r="Q138" s="64"/>
      <c r="R138" s="64"/>
      <c r="S138" s="64"/>
      <c r="T138" s="64"/>
      <c r="U138" s="64"/>
      <c r="V138" s="64"/>
    </row>
    <row r="139" spans="1:22" s="65" customFormat="1" ht="23.1" hidden="1" customHeight="1">
      <c r="A139" s="75" t="s">
        <v>41</v>
      </c>
      <c r="B139" s="88" t="e">
        <f>COUNTIF(#REF!,"철")</f>
        <v>#REF!</v>
      </c>
      <c r="C139" s="76" t="s">
        <v>5</v>
      </c>
      <c r="D139" s="125" t="e">
        <f>SUMIF(#REF!,"철",#REF!)</f>
        <v>#REF!</v>
      </c>
      <c r="E139" s="88" t="e">
        <f>COUNTIF(#REF!,"철국")</f>
        <v>#REF!</v>
      </c>
      <c r="F139" s="76" t="s">
        <v>5</v>
      </c>
      <c r="G139" s="125" t="e">
        <f>SUMIF(#REF!,"철국",#REF!)</f>
        <v>#REF!</v>
      </c>
      <c r="H139" s="88" t="e">
        <f>COUNTIF(#REF!,"철공")</f>
        <v>#REF!</v>
      </c>
      <c r="I139" s="76" t="s">
        <v>5</v>
      </c>
      <c r="J139" s="125" t="e">
        <f>SUMIF(#REF!,"철공",#REF!)</f>
        <v>#REF!</v>
      </c>
      <c r="K139" s="88" t="e">
        <f t="shared" si="8"/>
        <v>#REF!</v>
      </c>
      <c r="L139" s="76" t="s">
        <v>5</v>
      </c>
      <c r="M139" s="125" t="e">
        <f t="shared" si="9"/>
        <v>#REF!</v>
      </c>
      <c r="N139" s="77"/>
      <c r="O139" s="64"/>
      <c r="P139" s="64"/>
      <c r="Q139" s="64"/>
      <c r="R139" s="64"/>
      <c r="S139" s="64"/>
      <c r="T139" s="64"/>
      <c r="U139" s="64"/>
      <c r="V139" s="64"/>
    </row>
    <row r="140" spans="1:22" s="65" customFormat="1" ht="23.1" hidden="1" customHeight="1">
      <c r="A140" s="75" t="s">
        <v>17</v>
      </c>
      <c r="B140" s="88" t="e">
        <f>COUNTIF(#REF!,"묘")</f>
        <v>#REF!</v>
      </c>
      <c r="C140" s="76" t="s">
        <v>5</v>
      </c>
      <c r="D140" s="125" t="e">
        <f>SUMIF(#REF!,"묘",#REF!)</f>
        <v>#REF!</v>
      </c>
      <c r="E140" s="88" t="e">
        <f>COUNTIF(#REF!,"묘국")</f>
        <v>#REF!</v>
      </c>
      <c r="F140" s="76" t="s">
        <v>5</v>
      </c>
      <c r="G140" s="125" t="e">
        <f>SUMIF(#REF!,"묘국",#REF!)</f>
        <v>#REF!</v>
      </c>
      <c r="H140" s="88" t="e">
        <f>COUNTIF(#REF!,"묘공")</f>
        <v>#REF!</v>
      </c>
      <c r="I140" s="76" t="s">
        <v>5</v>
      </c>
      <c r="J140" s="125" t="e">
        <f>SUMIF(#REF!,"묘공",#REF!)</f>
        <v>#REF!</v>
      </c>
      <c r="K140" s="88" t="e">
        <f t="shared" si="8"/>
        <v>#REF!</v>
      </c>
      <c r="L140" s="76" t="s">
        <v>5</v>
      </c>
      <c r="M140" s="125" t="e">
        <f t="shared" si="9"/>
        <v>#REF!</v>
      </c>
      <c r="N140" s="77"/>
      <c r="O140" s="64"/>
      <c r="P140" s="64"/>
      <c r="Q140" s="64"/>
      <c r="R140" s="64"/>
      <c r="S140" s="64"/>
      <c r="T140" s="64"/>
      <c r="U140" s="64"/>
      <c r="V140" s="64"/>
    </row>
    <row r="141" spans="1:22" s="65" customFormat="1" ht="23.1" hidden="1" customHeight="1">
      <c r="A141" s="75" t="s">
        <v>20</v>
      </c>
      <c r="B141" s="88" t="e">
        <f>COUNTIF(#REF!,"수")</f>
        <v>#REF!</v>
      </c>
      <c r="C141" s="76" t="s">
        <v>5</v>
      </c>
      <c r="D141" s="125" t="e">
        <f>SUMIF(#REF!,"수",#REF!)</f>
        <v>#REF!</v>
      </c>
      <c r="E141" s="88" t="e">
        <f>COUNTIF(#REF!,"수국")</f>
        <v>#REF!</v>
      </c>
      <c r="F141" s="76" t="s">
        <v>5</v>
      </c>
      <c r="G141" s="125" t="e">
        <f>SUMIF(#REF!,"수국",#REF!)</f>
        <v>#REF!</v>
      </c>
      <c r="H141" s="88" t="e">
        <f>COUNTIF(#REF!,"수공")</f>
        <v>#REF!</v>
      </c>
      <c r="I141" s="76" t="s">
        <v>5</v>
      </c>
      <c r="J141" s="125" t="e">
        <f>SUMIF(#REF!,"수공",#REF!)</f>
        <v>#REF!</v>
      </c>
      <c r="K141" s="88" t="e">
        <f t="shared" si="8"/>
        <v>#REF!</v>
      </c>
      <c r="L141" s="76" t="s">
        <v>5</v>
      </c>
      <c r="M141" s="125" t="e">
        <f t="shared" si="9"/>
        <v>#REF!</v>
      </c>
      <c r="N141" s="77"/>
      <c r="O141" s="64"/>
      <c r="P141" s="64"/>
      <c r="Q141" s="64"/>
      <c r="R141" s="64"/>
      <c r="S141" s="64"/>
      <c r="T141" s="64"/>
      <c r="U141" s="64"/>
      <c r="V141" s="64"/>
    </row>
    <row r="142" spans="1:22" s="65" customFormat="1" ht="23.1" hidden="1" customHeight="1">
      <c r="A142" s="75" t="s">
        <v>19</v>
      </c>
      <c r="B142" s="88" t="e">
        <f>COUNTIF(#REF!,"잡")</f>
        <v>#REF!</v>
      </c>
      <c r="C142" s="76" t="s">
        <v>5</v>
      </c>
      <c r="D142" s="125" t="e">
        <f>SUMIF(#REF!,"잡",#REF!)</f>
        <v>#REF!</v>
      </c>
      <c r="E142" s="88" t="e">
        <f>COUNTIF(#REF!,"잡국")</f>
        <v>#REF!</v>
      </c>
      <c r="F142" s="76" t="s">
        <v>5</v>
      </c>
      <c r="G142" s="125" t="e">
        <f>SUMIF(#REF!,"잡국",#REF!)</f>
        <v>#REF!</v>
      </c>
      <c r="H142" s="88" t="e">
        <f>COUNTIF(#REF!,"잡공")</f>
        <v>#REF!</v>
      </c>
      <c r="I142" s="76" t="s">
        <v>5</v>
      </c>
      <c r="J142" s="125" t="e">
        <f>SUMIF(#REF!,"잡공",#REF!)</f>
        <v>#REF!</v>
      </c>
      <c r="K142" s="88" t="e">
        <f t="shared" si="8"/>
        <v>#REF!</v>
      </c>
      <c r="L142" s="76" t="s">
        <v>5</v>
      </c>
      <c r="M142" s="125" t="e">
        <f t="shared" si="9"/>
        <v>#REF!</v>
      </c>
      <c r="N142" s="77"/>
      <c r="O142" s="64"/>
      <c r="P142" s="64"/>
      <c r="Q142" s="64"/>
      <c r="R142" s="64"/>
      <c r="S142" s="64"/>
      <c r="T142" s="64"/>
      <c r="U142" s="64"/>
      <c r="V142" s="64"/>
    </row>
    <row r="143" spans="1:22" s="65" customFormat="1" ht="23.1" hidden="1" customHeight="1">
      <c r="A143" s="75" t="s">
        <v>42</v>
      </c>
      <c r="B143" s="88" t="e">
        <f>COUNTIF(#REF!,"종")</f>
        <v>#REF!</v>
      </c>
      <c r="C143" s="76" t="s">
        <v>5</v>
      </c>
      <c r="D143" s="125" t="e">
        <f>SUMIF(#REF!,"종",#REF!)</f>
        <v>#REF!</v>
      </c>
      <c r="E143" s="88" t="e">
        <f>COUNTIF(#REF!,"종국")</f>
        <v>#REF!</v>
      </c>
      <c r="F143" s="76" t="s">
        <v>5</v>
      </c>
      <c r="G143" s="125" t="e">
        <f>SUMIF(#REF!,"종국",#REF!)</f>
        <v>#REF!</v>
      </c>
      <c r="H143" s="88" t="e">
        <f>COUNTIF(#REF!,"종공")</f>
        <v>#REF!</v>
      </c>
      <c r="I143" s="76" t="s">
        <v>5</v>
      </c>
      <c r="J143" s="125" t="e">
        <f>SUMIF(#REF!,"종공",#REF!)</f>
        <v>#REF!</v>
      </c>
      <c r="K143" s="88" t="e">
        <f t="shared" si="8"/>
        <v>#REF!</v>
      </c>
      <c r="L143" s="76" t="s">
        <v>5</v>
      </c>
      <c r="M143" s="125" t="e">
        <f t="shared" si="9"/>
        <v>#REF!</v>
      </c>
      <c r="N143" s="77"/>
      <c r="O143" s="64"/>
      <c r="P143" s="64"/>
      <c r="Q143" s="64"/>
      <c r="R143" s="64"/>
      <c r="S143" s="64"/>
      <c r="T143" s="64"/>
      <c r="U143" s="64"/>
      <c r="V143" s="64"/>
    </row>
    <row r="144" spans="1:22" s="65" customFormat="1" ht="23.1" hidden="1" customHeight="1">
      <c r="A144" s="79" t="s">
        <v>43</v>
      </c>
      <c r="B144" s="88" t="e">
        <f>COUNTIF(#REF!,"염")</f>
        <v>#REF!</v>
      </c>
      <c r="C144" s="76" t="s">
        <v>5</v>
      </c>
      <c r="D144" s="125" t="e">
        <f>SUMIF(#REF!,"염",#REF!)</f>
        <v>#REF!</v>
      </c>
      <c r="E144" s="88" t="e">
        <f>COUNTIF(#REF!,"염국")</f>
        <v>#REF!</v>
      </c>
      <c r="F144" s="76" t="s">
        <v>5</v>
      </c>
      <c r="G144" s="125" t="e">
        <f>SUMIF(#REF!,"염국",#REF!)</f>
        <v>#REF!</v>
      </c>
      <c r="H144" s="88" t="e">
        <f>COUNTIF(#REF!,"염공")</f>
        <v>#REF!</v>
      </c>
      <c r="I144" s="76" t="s">
        <v>5</v>
      </c>
      <c r="J144" s="125" t="e">
        <f>SUMIF(#REF!,"염공",#REF!)</f>
        <v>#REF!</v>
      </c>
      <c r="K144" s="88" t="e">
        <f t="shared" si="8"/>
        <v>#REF!</v>
      </c>
      <c r="L144" s="76" t="s">
        <v>5</v>
      </c>
      <c r="M144" s="125" t="e">
        <f t="shared" si="9"/>
        <v>#REF!</v>
      </c>
      <c r="N144" s="77"/>
      <c r="O144" s="64"/>
      <c r="P144" s="64"/>
      <c r="Q144" s="64"/>
      <c r="R144" s="64"/>
      <c r="S144" s="64"/>
      <c r="T144" s="64"/>
      <c r="U144" s="64"/>
      <c r="V144" s="64"/>
    </row>
    <row r="145" spans="1:22" s="65" customFormat="1" ht="23.1" hidden="1" customHeight="1">
      <c r="A145" s="79" t="s">
        <v>44</v>
      </c>
      <c r="B145" s="88" t="e">
        <f>COUNTIF(#REF!,"공")</f>
        <v>#REF!</v>
      </c>
      <c r="C145" s="76" t="s">
        <v>5</v>
      </c>
      <c r="D145" s="125" t="e">
        <f>SUMIF(#REF!,"공",#REF!)</f>
        <v>#REF!</v>
      </c>
      <c r="E145" s="88" t="e">
        <f>COUNTIF(#REF!,"공국")</f>
        <v>#REF!</v>
      </c>
      <c r="F145" s="76" t="s">
        <v>5</v>
      </c>
      <c r="G145" s="125" t="e">
        <f>SUMIF(#REF!,"공국",#REF!)</f>
        <v>#REF!</v>
      </c>
      <c r="H145" s="88" t="e">
        <f>COUNTIF(#REF!,"공공")</f>
        <v>#REF!</v>
      </c>
      <c r="I145" s="76" t="s">
        <v>5</v>
      </c>
      <c r="J145" s="125" t="e">
        <f>SUMIF(#REF!,"공공",#REF!)</f>
        <v>#REF!</v>
      </c>
      <c r="K145" s="88" t="e">
        <f t="shared" si="8"/>
        <v>#REF!</v>
      </c>
      <c r="L145" s="76" t="s">
        <v>5</v>
      </c>
      <c r="M145" s="125" t="e">
        <f t="shared" si="9"/>
        <v>#REF!</v>
      </c>
      <c r="N145" s="77"/>
      <c r="O145" s="64"/>
      <c r="P145" s="64"/>
      <c r="Q145" s="64"/>
      <c r="R145" s="64"/>
      <c r="S145" s="64"/>
      <c r="T145" s="64"/>
      <c r="U145" s="64"/>
      <c r="V145" s="64"/>
    </row>
    <row r="146" spans="1:22" s="65" customFormat="1" ht="23.1" hidden="1" customHeight="1">
      <c r="A146" s="79" t="s">
        <v>45</v>
      </c>
      <c r="B146" s="88" t="e">
        <f>COUNTIF(#REF!,"체")</f>
        <v>#REF!</v>
      </c>
      <c r="C146" s="76" t="s">
        <v>5</v>
      </c>
      <c r="D146" s="125" t="e">
        <f>SUMIF(#REF!,"체",#REF!)</f>
        <v>#REF!</v>
      </c>
      <c r="E146" s="88" t="e">
        <f>COUNTIF(#REF!,"체국")</f>
        <v>#REF!</v>
      </c>
      <c r="F146" s="76" t="s">
        <v>5</v>
      </c>
      <c r="G146" s="125" t="e">
        <f>SUMIF(#REF!,"체국",#REF!)</f>
        <v>#REF!</v>
      </c>
      <c r="H146" s="88" t="e">
        <f>COUNTIF(#REF!,"체공")</f>
        <v>#REF!</v>
      </c>
      <c r="I146" s="76" t="s">
        <v>5</v>
      </c>
      <c r="J146" s="125" t="e">
        <f>SUMIF(#REF!,"체공",#REF!)</f>
        <v>#REF!</v>
      </c>
      <c r="K146" s="88" t="e">
        <f t="shared" si="8"/>
        <v>#REF!</v>
      </c>
      <c r="L146" s="76" t="s">
        <v>5</v>
      </c>
      <c r="M146" s="125" t="e">
        <f t="shared" si="9"/>
        <v>#REF!</v>
      </c>
      <c r="N146" s="77"/>
      <c r="O146" s="64"/>
      <c r="P146" s="64"/>
      <c r="Q146" s="64"/>
      <c r="R146" s="64"/>
      <c r="S146" s="64"/>
      <c r="T146" s="64"/>
      <c r="U146" s="64"/>
      <c r="V146" s="64"/>
    </row>
    <row r="147" spans="1:22" s="65" customFormat="1" ht="23.1" hidden="1" customHeight="1">
      <c r="A147" s="79" t="s">
        <v>46</v>
      </c>
      <c r="B147" s="88" t="e">
        <f>COUNTIF(#REF!,"원")</f>
        <v>#REF!</v>
      </c>
      <c r="C147" s="76" t="s">
        <v>5</v>
      </c>
      <c r="D147" s="125" t="e">
        <f>SUMIF(#REF!,"원",#REF!)</f>
        <v>#REF!</v>
      </c>
      <c r="E147" s="88" t="e">
        <f>COUNTIF(#REF!,"원국")</f>
        <v>#REF!</v>
      </c>
      <c r="F147" s="76" t="s">
        <v>5</v>
      </c>
      <c r="G147" s="125" t="e">
        <f>SUMIF(#REF!,"원국",#REF!)</f>
        <v>#REF!</v>
      </c>
      <c r="H147" s="88" t="e">
        <f>COUNTIF(#REF!,"원공")</f>
        <v>#REF!</v>
      </c>
      <c r="I147" s="76" t="s">
        <v>5</v>
      </c>
      <c r="J147" s="125" t="e">
        <f>SUMIF(#REF!,"원공",#REF!)</f>
        <v>#REF!</v>
      </c>
      <c r="K147" s="88" t="e">
        <f t="shared" si="8"/>
        <v>#REF!</v>
      </c>
      <c r="L147" s="76" t="s">
        <v>5</v>
      </c>
      <c r="M147" s="125" t="e">
        <f t="shared" si="9"/>
        <v>#REF!</v>
      </c>
      <c r="N147" s="77"/>
      <c r="O147" s="64"/>
      <c r="P147" s="64"/>
      <c r="Q147" s="64"/>
      <c r="R147" s="64"/>
      <c r="S147" s="64"/>
      <c r="T147" s="64"/>
      <c r="U147" s="64"/>
      <c r="V147" s="64"/>
    </row>
    <row r="148" spans="1:22" s="65" customFormat="1" ht="23.1" hidden="1" customHeight="1">
      <c r="A148" s="79" t="s">
        <v>56</v>
      </c>
      <c r="B148" s="88" t="e">
        <f>COUNTIF(#REF!,"주")</f>
        <v>#REF!</v>
      </c>
      <c r="C148" s="76" t="s">
        <v>5</v>
      </c>
      <c r="D148" s="125" t="e">
        <f>SUMIF(#REF!,"주",#REF!)</f>
        <v>#REF!</v>
      </c>
      <c r="E148" s="88" t="e">
        <f>COUNTIF(#REF!,"주국")</f>
        <v>#REF!</v>
      </c>
      <c r="F148" s="76" t="s">
        <v>5</v>
      </c>
      <c r="G148" s="125" t="e">
        <f>SUMIF(#REF!,"주국",#REF!)</f>
        <v>#REF!</v>
      </c>
      <c r="H148" s="88" t="e">
        <f>COUNTIF(#REF!,"주공")</f>
        <v>#REF!</v>
      </c>
      <c r="I148" s="76" t="s">
        <v>5</v>
      </c>
      <c r="J148" s="125" t="e">
        <f>SUMIF(#REF!,"주공",#REF!)</f>
        <v>#REF!</v>
      </c>
      <c r="K148" s="88" t="e">
        <f t="shared" si="8"/>
        <v>#REF!</v>
      </c>
      <c r="L148" s="76" t="s">
        <v>5</v>
      </c>
      <c r="M148" s="125" t="e">
        <f t="shared" si="9"/>
        <v>#REF!</v>
      </c>
      <c r="N148" s="77"/>
      <c r="O148" s="64"/>
      <c r="P148" s="64"/>
      <c r="Q148" s="64"/>
      <c r="R148" s="64"/>
      <c r="S148" s="64"/>
      <c r="T148" s="64"/>
      <c r="U148" s="64"/>
      <c r="V148" s="64"/>
    </row>
    <row r="149" spans="1:22" s="65" customFormat="1" ht="23.1" hidden="1" customHeight="1">
      <c r="A149" s="79" t="s">
        <v>57</v>
      </c>
      <c r="B149" s="88" t="e">
        <f>COUNTIF(#REF!,"창")</f>
        <v>#REF!</v>
      </c>
      <c r="C149" s="76" t="s">
        <v>5</v>
      </c>
      <c r="D149" s="125" t="e">
        <f>SUMIF(#REF!,"창",#REF!)</f>
        <v>#REF!</v>
      </c>
      <c r="E149" s="88" t="e">
        <f>COUNTIF(#REF!,"창국")</f>
        <v>#REF!</v>
      </c>
      <c r="F149" s="76" t="s">
        <v>5</v>
      </c>
      <c r="G149" s="125" t="e">
        <f>SUMIF(#REF!,"창국",#REF!)</f>
        <v>#REF!</v>
      </c>
      <c r="H149" s="88" t="e">
        <f>COUNTIF(#REF!,"창공")</f>
        <v>#REF!</v>
      </c>
      <c r="I149" s="76" t="s">
        <v>5</v>
      </c>
      <c r="J149" s="125" t="e">
        <f>SUMIF(#REF!,"창공",#REF!)</f>
        <v>#REF!</v>
      </c>
      <c r="K149" s="88" t="e">
        <f t="shared" si="8"/>
        <v>#REF!</v>
      </c>
      <c r="L149" s="76" t="s">
        <v>5</v>
      </c>
      <c r="M149" s="125" t="e">
        <f t="shared" si="9"/>
        <v>#REF!</v>
      </c>
      <c r="N149" s="77"/>
      <c r="O149" s="64"/>
      <c r="P149" s="64"/>
      <c r="Q149" s="64"/>
      <c r="R149" s="64"/>
      <c r="S149" s="64"/>
      <c r="T149" s="64"/>
      <c r="U149" s="64"/>
      <c r="V149" s="64"/>
    </row>
    <row r="150" spans="1:22" s="65" customFormat="1" ht="23.1" hidden="1" customHeight="1">
      <c r="A150" s="80" t="s">
        <v>24</v>
      </c>
      <c r="B150" s="89" t="e">
        <f>COUNTIF(#REF!," ")</f>
        <v>#REF!</v>
      </c>
      <c r="C150" s="81" t="s">
        <v>5</v>
      </c>
      <c r="D150" s="126" t="e">
        <f>SUMIF(#REF!," ",#REF!)</f>
        <v>#REF!</v>
      </c>
      <c r="E150" s="89" t="e">
        <f>COUNTIF(#REF!," 국")</f>
        <v>#REF!</v>
      </c>
      <c r="F150" s="81" t="s">
        <v>5</v>
      </c>
      <c r="G150" s="126" t="e">
        <f>SUMIF(#REF!," 국",#REF!)</f>
        <v>#REF!</v>
      </c>
      <c r="H150" s="89" t="e">
        <f>COUNTIF(#REF!," 공")</f>
        <v>#REF!</v>
      </c>
      <c r="I150" s="81" t="s">
        <v>5</v>
      </c>
      <c r="J150" s="126" t="e">
        <f>SUMIF(#REF!," 공",#REF!)</f>
        <v>#REF!</v>
      </c>
      <c r="K150" s="89" t="e">
        <f t="shared" si="8"/>
        <v>#REF!</v>
      </c>
      <c r="L150" s="81" t="s">
        <v>5</v>
      </c>
      <c r="M150" s="126" t="e">
        <f t="shared" si="9"/>
        <v>#REF!</v>
      </c>
      <c r="N150" s="82"/>
      <c r="O150" s="64"/>
      <c r="P150" s="64"/>
      <c r="Q150" s="64"/>
      <c r="R150" s="64"/>
      <c r="S150" s="64"/>
      <c r="T150" s="64"/>
      <c r="U150" s="64"/>
      <c r="V150" s="64"/>
    </row>
    <row r="151" spans="1:22" s="59" customFormat="1" ht="20.100000000000001" hidden="1" customHeight="1">
      <c r="A151" s="56" t="e">
        <f>IF(EXACT(O155,O156),,"검산확인요!!!")</f>
        <v>#REF!</v>
      </c>
      <c r="B151" s="57"/>
      <c r="C151" s="57"/>
      <c r="D151" s="95"/>
      <c r="E151" s="57"/>
      <c r="F151" s="57"/>
      <c r="G151" s="95"/>
      <c r="H151" s="57"/>
      <c r="I151" s="57"/>
      <c r="J151" s="95"/>
      <c r="K151" s="86" t="e">
        <f>IF(ISBLANK(#REF!),,#REF!)</f>
        <v>#REF!</v>
      </c>
      <c r="L151" s="58"/>
      <c r="M151" s="97"/>
      <c r="N151" s="53"/>
    </row>
    <row r="152" spans="1:22" s="59" customFormat="1" ht="9.9499999999999993" hidden="1" customHeight="1">
      <c r="A152" s="56"/>
      <c r="B152" s="57"/>
      <c r="C152" s="57"/>
      <c r="D152" s="95"/>
      <c r="E152" s="57"/>
      <c r="F152" s="57"/>
      <c r="G152" s="95"/>
      <c r="H152" s="57"/>
      <c r="I152" s="57"/>
      <c r="J152" s="95"/>
      <c r="K152" s="57"/>
      <c r="L152" s="57"/>
      <c r="M152" s="95"/>
      <c r="N152" s="57"/>
    </row>
    <row r="153" spans="1:22" s="65" customFormat="1" ht="27.95" hidden="1" customHeight="1">
      <c r="A153" s="60" t="s">
        <v>2</v>
      </c>
      <c r="B153" s="101" t="s">
        <v>3</v>
      </c>
      <c r="C153" s="102"/>
      <c r="D153" s="103"/>
      <c r="E153" s="101" t="s">
        <v>47</v>
      </c>
      <c r="F153" s="102"/>
      <c r="G153" s="103"/>
      <c r="H153" s="101" t="s">
        <v>58</v>
      </c>
      <c r="I153" s="102"/>
      <c r="J153" s="103"/>
      <c r="K153" s="101" t="s">
        <v>48</v>
      </c>
      <c r="L153" s="102"/>
      <c r="M153" s="103"/>
      <c r="N153" s="63" t="s">
        <v>22</v>
      </c>
      <c r="O153" s="64"/>
      <c r="S153" s="64"/>
      <c r="T153" s="64"/>
      <c r="U153" s="64"/>
      <c r="V153" s="64"/>
    </row>
    <row r="154" spans="1:22" s="65" customFormat="1" ht="27.95" hidden="1" customHeight="1">
      <c r="A154" s="66"/>
      <c r="B154" s="98" t="s">
        <v>4</v>
      </c>
      <c r="C154" s="99" t="s">
        <v>5</v>
      </c>
      <c r="D154" s="100" t="s">
        <v>49</v>
      </c>
      <c r="E154" s="98" t="s">
        <v>4</v>
      </c>
      <c r="F154" s="99" t="s">
        <v>5</v>
      </c>
      <c r="G154" s="100" t="s">
        <v>49</v>
      </c>
      <c r="H154" s="98" t="s">
        <v>4</v>
      </c>
      <c r="I154" s="99" t="s">
        <v>5</v>
      </c>
      <c r="J154" s="100" t="s">
        <v>49</v>
      </c>
      <c r="K154" s="98" t="s">
        <v>4</v>
      </c>
      <c r="L154" s="99" t="s">
        <v>5</v>
      </c>
      <c r="M154" s="100" t="s">
        <v>49</v>
      </c>
      <c r="N154" s="69"/>
      <c r="P154" s="64"/>
      <c r="Q154" s="70" t="s">
        <v>50</v>
      </c>
      <c r="R154" s="70" t="s">
        <v>51</v>
      </c>
      <c r="S154" s="70" t="s">
        <v>52</v>
      </c>
      <c r="T154" s="70" t="s">
        <v>53</v>
      </c>
      <c r="U154" s="64"/>
      <c r="V154" s="64"/>
    </row>
    <row r="155" spans="1:22" s="65" customFormat="1" ht="23.1" hidden="1" customHeight="1">
      <c r="A155" s="71" t="s">
        <v>3</v>
      </c>
      <c r="B155" s="87" t="e">
        <f>SUM(B156:B180)</f>
        <v>#REF!</v>
      </c>
      <c r="C155" s="72" t="s">
        <v>5</v>
      </c>
      <c r="D155" s="124" t="e">
        <f>SUM(D156:D180)</f>
        <v>#REF!</v>
      </c>
      <c r="E155" s="87" t="e">
        <f>SUM(E156:E180)</f>
        <v>#REF!</v>
      </c>
      <c r="F155" s="72" t="s">
        <v>5</v>
      </c>
      <c r="G155" s="124" t="e">
        <f>SUM(G156:G180)</f>
        <v>#REF!</v>
      </c>
      <c r="H155" s="87" t="e">
        <f>SUM(H156:H180)</f>
        <v>#REF!</v>
      </c>
      <c r="I155" s="72" t="s">
        <v>5</v>
      </c>
      <c r="J155" s="124" t="e">
        <f>SUM(J156:J180)</f>
        <v>#REF!</v>
      </c>
      <c r="K155" s="87" t="e">
        <f>SUM(K156:K180)</f>
        <v>#REF!</v>
      </c>
      <c r="L155" s="72" t="s">
        <v>5</v>
      </c>
      <c r="M155" s="124" t="e">
        <f>SUM(M156:M180)</f>
        <v>#REF!</v>
      </c>
      <c r="N155" s="73"/>
      <c r="O155" s="64" t="e">
        <f>IF(EXACT(Q155,T155),"맞음","틀림")</f>
        <v>#REF!</v>
      </c>
      <c r="P155" s="64" t="s">
        <v>4</v>
      </c>
      <c r="Q155" s="74" t="e">
        <f>SUM(B156:B180)</f>
        <v>#REF!</v>
      </c>
      <c r="R155" s="74" t="e">
        <f>SUM(H156:H180)</f>
        <v>#REF!</v>
      </c>
      <c r="S155" s="74" t="e">
        <f>SUM(K156:K180)</f>
        <v>#REF!</v>
      </c>
      <c r="T155" s="74" t="e">
        <f>K155+H155</f>
        <v>#REF!</v>
      </c>
      <c r="U155" s="64"/>
      <c r="V155" s="64"/>
    </row>
    <row r="156" spans="1:22" s="65" customFormat="1" ht="23.1" hidden="1" customHeight="1">
      <c r="A156" s="75" t="s">
        <v>7</v>
      </c>
      <c r="B156" s="88" t="e">
        <f>COUNTIF(#REF!,"전")</f>
        <v>#REF!</v>
      </c>
      <c r="C156" s="76" t="s">
        <v>5</v>
      </c>
      <c r="D156" s="125" t="e">
        <f>SUMIF(#REF!,"전",#REF!)</f>
        <v>#REF!</v>
      </c>
      <c r="E156" s="88" t="e">
        <f>COUNTIF(#REF!,"전국")</f>
        <v>#REF!</v>
      </c>
      <c r="F156" s="76" t="s">
        <v>5</v>
      </c>
      <c r="G156" s="125" t="e">
        <f>SUMIF(#REF!,"전국",#REF!)</f>
        <v>#REF!</v>
      </c>
      <c r="H156" s="88" t="e">
        <f>COUNTIF(#REF!,"전공")</f>
        <v>#REF!</v>
      </c>
      <c r="I156" s="76" t="s">
        <v>5</v>
      </c>
      <c r="J156" s="125" t="e">
        <f>SUMIF(#REF!,"전공",#REF!)</f>
        <v>#REF!</v>
      </c>
      <c r="K156" s="88" t="e">
        <f t="shared" ref="K156:K180" si="10">B156-H156</f>
        <v>#REF!</v>
      </c>
      <c r="L156" s="76" t="s">
        <v>5</v>
      </c>
      <c r="M156" s="125" t="e">
        <f t="shared" ref="M156:M180" si="11">D156-J156</f>
        <v>#REF!</v>
      </c>
      <c r="N156" s="77"/>
      <c r="O156" s="64" t="e">
        <f>IF(EXACT(Q156,T156),"맞음","틀림")</f>
        <v>#REF!</v>
      </c>
      <c r="P156" s="64" t="s">
        <v>54</v>
      </c>
      <c r="Q156" s="74" t="e">
        <f>SUM(D156:D180)</f>
        <v>#REF!</v>
      </c>
      <c r="R156" s="74" t="e">
        <f>SUM(J156:J180)</f>
        <v>#REF!</v>
      </c>
      <c r="S156" s="74" t="e">
        <f>SUM(M156:M180)</f>
        <v>#REF!</v>
      </c>
      <c r="T156" s="74" t="e">
        <f>J155+M155</f>
        <v>#REF!</v>
      </c>
      <c r="U156" s="64"/>
      <c r="V156" s="64"/>
    </row>
    <row r="157" spans="1:22" s="65" customFormat="1" ht="23.1" hidden="1" customHeight="1">
      <c r="A157" s="75" t="s">
        <v>8</v>
      </c>
      <c r="B157" s="88" t="e">
        <f>COUNTIF(#REF!,"답")</f>
        <v>#REF!</v>
      </c>
      <c r="C157" s="76" t="s">
        <v>5</v>
      </c>
      <c r="D157" s="125" t="e">
        <f>SUMIF(#REF!,"답",#REF!)</f>
        <v>#REF!</v>
      </c>
      <c r="E157" s="88" t="e">
        <f>COUNTIF(#REF!,"답국")</f>
        <v>#REF!</v>
      </c>
      <c r="F157" s="76" t="s">
        <v>5</v>
      </c>
      <c r="G157" s="125" t="e">
        <f>SUMIF(#REF!,"답국",#REF!)</f>
        <v>#REF!</v>
      </c>
      <c r="H157" s="88" t="e">
        <f>COUNTIF(#REF!,"답공")</f>
        <v>#REF!</v>
      </c>
      <c r="I157" s="76" t="s">
        <v>5</v>
      </c>
      <c r="J157" s="125" t="e">
        <f>SUMIF(#REF!,"답공",#REF!)</f>
        <v>#REF!</v>
      </c>
      <c r="K157" s="88" t="e">
        <f t="shared" si="10"/>
        <v>#REF!</v>
      </c>
      <c r="L157" s="76" t="s">
        <v>5</v>
      </c>
      <c r="M157" s="125" t="e">
        <f t="shared" si="11"/>
        <v>#REF!</v>
      </c>
      <c r="N157" s="77"/>
      <c r="Q157" s="64"/>
      <c r="S157" s="64"/>
      <c r="U157" s="64"/>
      <c r="V157" s="64"/>
    </row>
    <row r="158" spans="1:22" s="65" customFormat="1" ht="23.1" hidden="1" customHeight="1">
      <c r="A158" s="78" t="s">
        <v>9</v>
      </c>
      <c r="B158" s="88" t="e">
        <f>COUNTIF(#REF!,"임")</f>
        <v>#REF!</v>
      </c>
      <c r="C158" s="76" t="s">
        <v>5</v>
      </c>
      <c r="D158" s="125" t="e">
        <f>SUMIF(#REF!,"임",#REF!)</f>
        <v>#REF!</v>
      </c>
      <c r="E158" s="88" t="e">
        <f>COUNTIF(#REF!,"임국")</f>
        <v>#REF!</v>
      </c>
      <c r="F158" s="76" t="s">
        <v>5</v>
      </c>
      <c r="G158" s="125" t="e">
        <f>SUMIF(#REF!,"임국",#REF!)</f>
        <v>#REF!</v>
      </c>
      <c r="H158" s="88" t="e">
        <f>COUNTIF(#REF!,"임공")</f>
        <v>#REF!</v>
      </c>
      <c r="I158" s="76" t="s">
        <v>5</v>
      </c>
      <c r="J158" s="125" t="e">
        <f>SUMIF(#REF!,"임공",#REF!)</f>
        <v>#REF!</v>
      </c>
      <c r="K158" s="88" t="e">
        <f t="shared" si="10"/>
        <v>#REF!</v>
      </c>
      <c r="L158" s="76" t="s">
        <v>5</v>
      </c>
      <c r="M158" s="125" t="e">
        <f t="shared" si="11"/>
        <v>#REF!</v>
      </c>
      <c r="N158" s="77"/>
      <c r="Q158" s="64"/>
      <c r="S158" s="64"/>
      <c r="U158" s="64"/>
      <c r="V158" s="64"/>
    </row>
    <row r="159" spans="1:22" s="65" customFormat="1" ht="23.1" hidden="1" customHeight="1">
      <c r="A159" s="75" t="s">
        <v>10</v>
      </c>
      <c r="B159" s="88" t="e">
        <f>COUNTIF(#REF!,"대")</f>
        <v>#REF!</v>
      </c>
      <c r="C159" s="76" t="s">
        <v>5</v>
      </c>
      <c r="D159" s="125" t="e">
        <f>SUMIF(#REF!,"대",#REF!)</f>
        <v>#REF!</v>
      </c>
      <c r="E159" s="88" t="e">
        <f>COUNTIF(#REF!,"대국")</f>
        <v>#REF!</v>
      </c>
      <c r="F159" s="76" t="s">
        <v>5</v>
      </c>
      <c r="G159" s="125" t="e">
        <f>SUMIF(#REF!,"대국",#REF!)</f>
        <v>#REF!</v>
      </c>
      <c r="H159" s="88" t="e">
        <f>COUNTIF(#REF!,"대공")</f>
        <v>#REF!</v>
      </c>
      <c r="I159" s="76" t="s">
        <v>5</v>
      </c>
      <c r="J159" s="125" t="e">
        <f>SUMIF(#REF!,"대공",#REF!)</f>
        <v>#REF!</v>
      </c>
      <c r="K159" s="88" t="e">
        <f t="shared" si="10"/>
        <v>#REF!</v>
      </c>
      <c r="L159" s="76" t="s">
        <v>5</v>
      </c>
      <c r="M159" s="125" t="e">
        <f t="shared" si="11"/>
        <v>#REF!</v>
      </c>
      <c r="N159" s="77"/>
      <c r="O159" s="64"/>
      <c r="P159" s="64"/>
      <c r="Q159" s="64"/>
      <c r="R159" s="64"/>
      <c r="S159" s="64"/>
      <c r="T159" s="64"/>
      <c r="U159" s="64"/>
      <c r="V159" s="64"/>
    </row>
    <row r="160" spans="1:22" s="65" customFormat="1" ht="23.1" hidden="1" customHeight="1">
      <c r="A160" s="75" t="s">
        <v>11</v>
      </c>
      <c r="B160" s="88" t="e">
        <f>COUNTIF(#REF!,"도")</f>
        <v>#REF!</v>
      </c>
      <c r="C160" s="76" t="s">
        <v>5</v>
      </c>
      <c r="D160" s="125" t="e">
        <f>SUMIF(#REF!,"도",#REF!)</f>
        <v>#REF!</v>
      </c>
      <c r="E160" s="88" t="e">
        <f>COUNTIF(#REF!,"도국")</f>
        <v>#REF!</v>
      </c>
      <c r="F160" s="76" t="s">
        <v>5</v>
      </c>
      <c r="G160" s="125" t="e">
        <f>SUMIF(#REF!,"도국",#REF!)</f>
        <v>#REF!</v>
      </c>
      <c r="H160" s="88" t="e">
        <f>COUNTIF(#REF!,"도공")</f>
        <v>#REF!</v>
      </c>
      <c r="I160" s="76" t="s">
        <v>5</v>
      </c>
      <c r="J160" s="125" t="e">
        <f>SUMIF(#REF!,"도공",#REF!)</f>
        <v>#REF!</v>
      </c>
      <c r="K160" s="88" t="e">
        <f t="shared" si="10"/>
        <v>#REF!</v>
      </c>
      <c r="L160" s="76" t="s">
        <v>5</v>
      </c>
      <c r="M160" s="125" t="e">
        <f t="shared" si="11"/>
        <v>#REF!</v>
      </c>
      <c r="N160" s="77"/>
      <c r="O160" s="64"/>
      <c r="P160" s="64"/>
      <c r="Q160" s="64"/>
      <c r="R160" s="64"/>
      <c r="S160" s="64"/>
      <c r="T160" s="64"/>
      <c r="U160" s="64"/>
      <c r="V160" s="64"/>
    </row>
    <row r="161" spans="1:22" s="65" customFormat="1" ht="23.1" hidden="1" customHeight="1">
      <c r="A161" s="75" t="s">
        <v>13</v>
      </c>
      <c r="B161" s="88" t="e">
        <f>COUNTIF(#REF!,"구")</f>
        <v>#REF!</v>
      </c>
      <c r="C161" s="76" t="s">
        <v>5</v>
      </c>
      <c r="D161" s="125" t="e">
        <f>SUMIF(#REF!,"구",#REF!)</f>
        <v>#REF!</v>
      </c>
      <c r="E161" s="88" t="e">
        <f>COUNTIF(#REF!,"구국")</f>
        <v>#REF!</v>
      </c>
      <c r="F161" s="76" t="s">
        <v>5</v>
      </c>
      <c r="G161" s="125" t="e">
        <f>SUMIF(#REF!,"구국",#REF!)</f>
        <v>#REF!</v>
      </c>
      <c r="H161" s="88" t="e">
        <f>COUNTIF(#REF!,"구공")</f>
        <v>#REF!</v>
      </c>
      <c r="I161" s="76" t="s">
        <v>5</v>
      </c>
      <c r="J161" s="125" t="e">
        <f>SUMIF(#REF!,"구공",#REF!)</f>
        <v>#REF!</v>
      </c>
      <c r="K161" s="88" t="e">
        <f t="shared" si="10"/>
        <v>#REF!</v>
      </c>
      <c r="L161" s="76" t="s">
        <v>5</v>
      </c>
      <c r="M161" s="125" t="e">
        <f t="shared" si="11"/>
        <v>#REF!</v>
      </c>
      <c r="N161" s="77"/>
      <c r="O161" s="64"/>
      <c r="P161" s="64"/>
      <c r="Q161" s="64"/>
      <c r="R161" s="64"/>
      <c r="S161" s="64"/>
      <c r="T161" s="64"/>
      <c r="U161" s="64"/>
      <c r="V161" s="64"/>
    </row>
    <row r="162" spans="1:22" s="65" customFormat="1" ht="23.1" hidden="1" customHeight="1">
      <c r="A162" s="75" t="s">
        <v>12</v>
      </c>
      <c r="B162" s="88" t="e">
        <f>COUNTIF(#REF!,"천")</f>
        <v>#REF!</v>
      </c>
      <c r="C162" s="76" t="s">
        <v>5</v>
      </c>
      <c r="D162" s="125" t="e">
        <f>SUMIF(#REF!,"천",#REF!)</f>
        <v>#REF!</v>
      </c>
      <c r="E162" s="88" t="e">
        <f>COUNTIF(#REF!,"천국")</f>
        <v>#REF!</v>
      </c>
      <c r="F162" s="76" t="s">
        <v>5</v>
      </c>
      <c r="G162" s="125" t="e">
        <f>SUMIF(#REF!,"천국",#REF!)</f>
        <v>#REF!</v>
      </c>
      <c r="H162" s="88" t="e">
        <f>COUNTIF(#REF!,"천공")</f>
        <v>#REF!</v>
      </c>
      <c r="I162" s="76" t="s">
        <v>5</v>
      </c>
      <c r="J162" s="125" t="e">
        <f>SUMIF(#REF!,"천공",#REF!)</f>
        <v>#REF!</v>
      </c>
      <c r="K162" s="88" t="e">
        <f t="shared" si="10"/>
        <v>#REF!</v>
      </c>
      <c r="L162" s="76" t="s">
        <v>5</v>
      </c>
      <c r="M162" s="125" t="e">
        <f t="shared" si="11"/>
        <v>#REF!</v>
      </c>
      <c r="N162" s="77"/>
      <c r="O162" s="64"/>
      <c r="P162" s="64"/>
      <c r="Q162" s="64"/>
      <c r="R162" s="64"/>
      <c r="S162" s="64"/>
      <c r="T162" s="64"/>
      <c r="U162" s="64"/>
      <c r="V162" s="64"/>
    </row>
    <row r="163" spans="1:22" s="65" customFormat="1" ht="23.1" hidden="1" customHeight="1">
      <c r="A163" s="75" t="s">
        <v>15</v>
      </c>
      <c r="B163" s="88" t="e">
        <f>COUNTIF(#REF!,"유")</f>
        <v>#REF!</v>
      </c>
      <c r="C163" s="76" t="s">
        <v>5</v>
      </c>
      <c r="D163" s="125" t="e">
        <f>SUMIF(#REF!,"유",#REF!)</f>
        <v>#REF!</v>
      </c>
      <c r="E163" s="88" t="e">
        <f>COUNTIF(#REF!,"유국")</f>
        <v>#REF!</v>
      </c>
      <c r="F163" s="76" t="s">
        <v>5</v>
      </c>
      <c r="G163" s="125" t="e">
        <f>SUMIF(#REF!,"유국",#REF!)</f>
        <v>#REF!</v>
      </c>
      <c r="H163" s="88" t="e">
        <f>COUNTIF(#REF!,"유공")</f>
        <v>#REF!</v>
      </c>
      <c r="I163" s="76" t="s">
        <v>5</v>
      </c>
      <c r="J163" s="125" t="e">
        <f>SUMIF(#REF!,"유공",#REF!)</f>
        <v>#REF!</v>
      </c>
      <c r="K163" s="88" t="e">
        <f t="shared" si="10"/>
        <v>#REF!</v>
      </c>
      <c r="L163" s="76" t="s">
        <v>5</v>
      </c>
      <c r="M163" s="125" t="e">
        <f t="shared" si="11"/>
        <v>#REF!</v>
      </c>
      <c r="N163" s="77"/>
      <c r="O163" s="64"/>
      <c r="P163" s="64"/>
      <c r="Q163" s="64"/>
      <c r="R163" s="64"/>
      <c r="S163" s="64"/>
      <c r="T163" s="64"/>
      <c r="U163" s="64"/>
      <c r="V163" s="64"/>
    </row>
    <row r="164" spans="1:22" s="65" customFormat="1" ht="23.1" hidden="1" customHeight="1">
      <c r="A164" s="75" t="s">
        <v>14</v>
      </c>
      <c r="B164" s="88" t="e">
        <f>COUNTIF(#REF!,"제")</f>
        <v>#REF!</v>
      </c>
      <c r="C164" s="76" t="s">
        <v>5</v>
      </c>
      <c r="D164" s="125" t="e">
        <f>SUMIF(#REF!,"제",#REF!)</f>
        <v>#REF!</v>
      </c>
      <c r="E164" s="88" t="e">
        <f>COUNTIF(#REF!,"제국")</f>
        <v>#REF!</v>
      </c>
      <c r="F164" s="76" t="s">
        <v>5</v>
      </c>
      <c r="G164" s="125" t="e">
        <f>SUMIF(#REF!,"제국",#REF!)</f>
        <v>#REF!</v>
      </c>
      <c r="H164" s="88" t="e">
        <f>COUNTIF(#REF!,"제공")</f>
        <v>#REF!</v>
      </c>
      <c r="I164" s="76" t="s">
        <v>5</v>
      </c>
      <c r="J164" s="125" t="e">
        <f>SUMIF(#REF!,"제공",#REF!)</f>
        <v>#REF!</v>
      </c>
      <c r="K164" s="88" t="e">
        <f t="shared" si="10"/>
        <v>#REF!</v>
      </c>
      <c r="L164" s="76" t="s">
        <v>5</v>
      </c>
      <c r="M164" s="125" t="e">
        <f t="shared" si="11"/>
        <v>#REF!</v>
      </c>
      <c r="N164" s="77"/>
      <c r="O164" s="64"/>
      <c r="P164" s="64"/>
      <c r="Q164" s="64"/>
      <c r="R164" s="64"/>
      <c r="S164" s="64"/>
      <c r="T164" s="64"/>
      <c r="U164" s="64"/>
      <c r="V164" s="64"/>
    </row>
    <row r="165" spans="1:22" s="65" customFormat="1" ht="23.1" hidden="1" customHeight="1">
      <c r="A165" s="75" t="s">
        <v>16</v>
      </c>
      <c r="B165" s="88" t="e">
        <f>COUNTIF(#REF!,"과")</f>
        <v>#REF!</v>
      </c>
      <c r="C165" s="76" t="s">
        <v>5</v>
      </c>
      <c r="D165" s="125" t="e">
        <f>SUMIF(#REF!,"과",#REF!)</f>
        <v>#REF!</v>
      </c>
      <c r="E165" s="88" t="e">
        <f>COUNTIF(#REF!,"과국")</f>
        <v>#REF!</v>
      </c>
      <c r="F165" s="76" t="s">
        <v>5</v>
      </c>
      <c r="G165" s="125" t="e">
        <f>SUMIF(#REF!,"과국",#REF!)</f>
        <v>#REF!</v>
      </c>
      <c r="H165" s="88" t="e">
        <f>COUNTIF(#REF!,"과공")</f>
        <v>#REF!</v>
      </c>
      <c r="I165" s="76" t="s">
        <v>5</v>
      </c>
      <c r="J165" s="125" t="e">
        <f>SUMIF(#REF!,"과공",#REF!)</f>
        <v>#REF!</v>
      </c>
      <c r="K165" s="88" t="e">
        <f t="shared" si="10"/>
        <v>#REF!</v>
      </c>
      <c r="L165" s="76" t="s">
        <v>5</v>
      </c>
      <c r="M165" s="125" t="e">
        <f t="shared" si="11"/>
        <v>#REF!</v>
      </c>
      <c r="N165" s="77"/>
      <c r="O165" s="64"/>
      <c r="P165" s="64"/>
      <c r="Q165" s="64"/>
      <c r="R165" s="64"/>
      <c r="S165" s="64"/>
      <c r="T165" s="64"/>
      <c r="U165" s="64"/>
      <c r="V165" s="64"/>
    </row>
    <row r="166" spans="1:22" s="65" customFormat="1" ht="23.1" hidden="1" customHeight="1">
      <c r="A166" s="75" t="s">
        <v>21</v>
      </c>
      <c r="B166" s="88" t="e">
        <f>COUNTIF(#REF!,"장")</f>
        <v>#REF!</v>
      </c>
      <c r="C166" s="76" t="s">
        <v>5</v>
      </c>
      <c r="D166" s="125" t="e">
        <f>SUMIF(#REF!,"장",#REF!)</f>
        <v>#REF!</v>
      </c>
      <c r="E166" s="88" t="e">
        <f>COUNTIF(#REF!,"장국")</f>
        <v>#REF!</v>
      </c>
      <c r="F166" s="76" t="s">
        <v>5</v>
      </c>
      <c r="G166" s="125" t="e">
        <f>SUMIF(#REF!,"장국",#REF!)</f>
        <v>#REF!</v>
      </c>
      <c r="H166" s="88" t="e">
        <f>COUNTIF(#REF!,"장공")</f>
        <v>#REF!</v>
      </c>
      <c r="I166" s="76" t="s">
        <v>5</v>
      </c>
      <c r="J166" s="125" t="e">
        <f>SUMIF(#REF!,"장공",#REF!)</f>
        <v>#REF!</v>
      </c>
      <c r="K166" s="88" t="e">
        <f t="shared" si="10"/>
        <v>#REF!</v>
      </c>
      <c r="L166" s="76" t="s">
        <v>5</v>
      </c>
      <c r="M166" s="125" t="e">
        <f t="shared" si="11"/>
        <v>#REF!</v>
      </c>
      <c r="N166" s="77"/>
      <c r="O166" s="64"/>
      <c r="P166" s="64"/>
      <c r="Q166" s="64"/>
      <c r="R166" s="64"/>
      <c r="S166" s="64"/>
      <c r="T166" s="64"/>
      <c r="U166" s="64"/>
      <c r="V166" s="64"/>
    </row>
    <row r="167" spans="1:22" s="65" customFormat="1" ht="23.1" hidden="1" customHeight="1">
      <c r="A167" s="75" t="s">
        <v>18</v>
      </c>
      <c r="B167" s="88" t="e">
        <f>COUNTIF(#REF!,"목")</f>
        <v>#REF!</v>
      </c>
      <c r="C167" s="76" t="s">
        <v>5</v>
      </c>
      <c r="D167" s="125" t="e">
        <f>SUMIF(#REF!,"목",#REF!)</f>
        <v>#REF!</v>
      </c>
      <c r="E167" s="88" t="e">
        <f>COUNTIF(#REF!,"목국")</f>
        <v>#REF!</v>
      </c>
      <c r="F167" s="76" t="s">
        <v>5</v>
      </c>
      <c r="G167" s="125" t="e">
        <f>SUMIF(#REF!,"목국",#REF!)</f>
        <v>#REF!</v>
      </c>
      <c r="H167" s="88" t="e">
        <f>COUNTIF(#REF!,"목공")</f>
        <v>#REF!</v>
      </c>
      <c r="I167" s="76" t="s">
        <v>5</v>
      </c>
      <c r="J167" s="125" t="e">
        <f>SUMIF(#REF!,"목공",#REF!)</f>
        <v>#REF!</v>
      </c>
      <c r="K167" s="88" t="e">
        <f t="shared" si="10"/>
        <v>#REF!</v>
      </c>
      <c r="L167" s="76" t="s">
        <v>5</v>
      </c>
      <c r="M167" s="125" t="e">
        <f t="shared" si="11"/>
        <v>#REF!</v>
      </c>
      <c r="N167" s="77"/>
      <c r="O167" s="64"/>
      <c r="P167" s="64"/>
      <c r="Q167" s="64"/>
      <c r="R167" s="64"/>
      <c r="S167" s="64"/>
      <c r="T167" s="64"/>
      <c r="U167" s="64"/>
      <c r="V167" s="64"/>
    </row>
    <row r="168" spans="1:22" s="65" customFormat="1" ht="23.1" hidden="1" customHeight="1">
      <c r="A168" s="75" t="s">
        <v>23</v>
      </c>
      <c r="B168" s="88" t="e">
        <f>COUNTIF(#REF!,"학")</f>
        <v>#REF!</v>
      </c>
      <c r="C168" s="76" t="s">
        <v>5</v>
      </c>
      <c r="D168" s="125" t="e">
        <f>SUMIF(#REF!,"학",#REF!)</f>
        <v>#REF!</v>
      </c>
      <c r="E168" s="88" t="e">
        <f>COUNTIF(#REF!,"학국")</f>
        <v>#REF!</v>
      </c>
      <c r="F168" s="76" t="s">
        <v>5</v>
      </c>
      <c r="G168" s="125" t="e">
        <f>SUMIF(#REF!,"학국",#REF!)</f>
        <v>#REF!</v>
      </c>
      <c r="H168" s="88" t="e">
        <f>COUNTIF(#REF!,"학공")</f>
        <v>#REF!</v>
      </c>
      <c r="I168" s="76" t="s">
        <v>5</v>
      </c>
      <c r="J168" s="125" t="e">
        <f>SUMIF(#REF!,"학공",#REF!)</f>
        <v>#REF!</v>
      </c>
      <c r="K168" s="88" t="e">
        <f t="shared" si="10"/>
        <v>#REF!</v>
      </c>
      <c r="L168" s="76" t="s">
        <v>5</v>
      </c>
      <c r="M168" s="125" t="e">
        <f t="shared" si="11"/>
        <v>#REF!</v>
      </c>
      <c r="N168" s="77"/>
      <c r="O168" s="64"/>
      <c r="P168" s="64"/>
      <c r="Q168" s="64"/>
      <c r="R168" s="64"/>
      <c r="S168" s="64"/>
      <c r="T168" s="64"/>
      <c r="U168" s="64"/>
      <c r="V168" s="64"/>
    </row>
    <row r="169" spans="1:22" s="65" customFormat="1" ht="23.1" hidden="1" customHeight="1">
      <c r="A169" s="75" t="s">
        <v>41</v>
      </c>
      <c r="B169" s="88" t="e">
        <f>COUNTIF(#REF!,"철")</f>
        <v>#REF!</v>
      </c>
      <c r="C169" s="76" t="s">
        <v>5</v>
      </c>
      <c r="D169" s="125" t="e">
        <f>SUMIF(#REF!,"철",#REF!)</f>
        <v>#REF!</v>
      </c>
      <c r="E169" s="88" t="e">
        <f>COUNTIF(#REF!,"철국")</f>
        <v>#REF!</v>
      </c>
      <c r="F169" s="76" t="s">
        <v>5</v>
      </c>
      <c r="G169" s="125" t="e">
        <f>SUMIF(#REF!,"철국",#REF!)</f>
        <v>#REF!</v>
      </c>
      <c r="H169" s="88" t="e">
        <f>COUNTIF(#REF!,"철공")</f>
        <v>#REF!</v>
      </c>
      <c r="I169" s="76" t="s">
        <v>5</v>
      </c>
      <c r="J169" s="125" t="e">
        <f>SUMIF(#REF!,"철공",#REF!)</f>
        <v>#REF!</v>
      </c>
      <c r="K169" s="88" t="e">
        <f t="shared" si="10"/>
        <v>#REF!</v>
      </c>
      <c r="L169" s="76" t="s">
        <v>5</v>
      </c>
      <c r="M169" s="125" t="e">
        <f t="shared" si="11"/>
        <v>#REF!</v>
      </c>
      <c r="N169" s="77"/>
      <c r="O169" s="64"/>
      <c r="P169" s="64"/>
      <c r="Q169" s="64"/>
      <c r="R169" s="64"/>
      <c r="S169" s="64"/>
      <c r="T169" s="64"/>
      <c r="U169" s="64"/>
      <c r="V169" s="64"/>
    </row>
    <row r="170" spans="1:22" s="65" customFormat="1" ht="23.1" hidden="1" customHeight="1">
      <c r="A170" s="75" t="s">
        <v>17</v>
      </c>
      <c r="B170" s="88" t="e">
        <f>COUNTIF(#REF!,"묘")</f>
        <v>#REF!</v>
      </c>
      <c r="C170" s="76" t="s">
        <v>5</v>
      </c>
      <c r="D170" s="125" t="e">
        <f>SUMIF(#REF!,"묘",#REF!)</f>
        <v>#REF!</v>
      </c>
      <c r="E170" s="88" t="e">
        <f>COUNTIF(#REF!,"묘국")</f>
        <v>#REF!</v>
      </c>
      <c r="F170" s="76" t="s">
        <v>5</v>
      </c>
      <c r="G170" s="125" t="e">
        <f>SUMIF(#REF!,"묘국",#REF!)</f>
        <v>#REF!</v>
      </c>
      <c r="H170" s="88" t="e">
        <f>COUNTIF(#REF!,"묘공")</f>
        <v>#REF!</v>
      </c>
      <c r="I170" s="76" t="s">
        <v>5</v>
      </c>
      <c r="J170" s="125" t="e">
        <f>SUMIF(#REF!,"묘공",#REF!)</f>
        <v>#REF!</v>
      </c>
      <c r="K170" s="88" t="e">
        <f t="shared" si="10"/>
        <v>#REF!</v>
      </c>
      <c r="L170" s="76" t="s">
        <v>5</v>
      </c>
      <c r="M170" s="125" t="e">
        <f t="shared" si="11"/>
        <v>#REF!</v>
      </c>
      <c r="N170" s="77"/>
      <c r="O170" s="64"/>
      <c r="P170" s="64"/>
      <c r="Q170" s="64"/>
      <c r="R170" s="64"/>
      <c r="S170" s="64"/>
      <c r="T170" s="64"/>
      <c r="U170" s="64"/>
      <c r="V170" s="64"/>
    </row>
    <row r="171" spans="1:22" s="65" customFormat="1" ht="23.1" hidden="1" customHeight="1">
      <c r="A171" s="75" t="s">
        <v>20</v>
      </c>
      <c r="B171" s="88" t="e">
        <f>COUNTIF(#REF!,"수")</f>
        <v>#REF!</v>
      </c>
      <c r="C171" s="76" t="s">
        <v>5</v>
      </c>
      <c r="D171" s="125" t="e">
        <f>SUMIF(#REF!,"수",#REF!)</f>
        <v>#REF!</v>
      </c>
      <c r="E171" s="88" t="e">
        <f>COUNTIF(#REF!,"수국")</f>
        <v>#REF!</v>
      </c>
      <c r="F171" s="76" t="s">
        <v>5</v>
      </c>
      <c r="G171" s="125" t="e">
        <f>SUMIF(#REF!,"수국",#REF!)</f>
        <v>#REF!</v>
      </c>
      <c r="H171" s="88" t="e">
        <f>COUNTIF(#REF!,"수공")</f>
        <v>#REF!</v>
      </c>
      <c r="I171" s="76" t="s">
        <v>5</v>
      </c>
      <c r="J171" s="125" t="e">
        <f>SUMIF(#REF!,"수공",#REF!)</f>
        <v>#REF!</v>
      </c>
      <c r="K171" s="88" t="e">
        <f t="shared" si="10"/>
        <v>#REF!</v>
      </c>
      <c r="L171" s="76" t="s">
        <v>5</v>
      </c>
      <c r="M171" s="125" t="e">
        <f t="shared" si="11"/>
        <v>#REF!</v>
      </c>
      <c r="N171" s="77"/>
      <c r="O171" s="64"/>
      <c r="P171" s="64"/>
      <c r="Q171" s="64"/>
      <c r="R171" s="64"/>
      <c r="S171" s="64"/>
      <c r="T171" s="64"/>
      <c r="U171" s="64"/>
      <c r="V171" s="64"/>
    </row>
    <row r="172" spans="1:22" s="65" customFormat="1" ht="23.1" hidden="1" customHeight="1">
      <c r="A172" s="75" t="s">
        <v>19</v>
      </c>
      <c r="B172" s="88" t="e">
        <f>COUNTIF(#REF!,"잡")</f>
        <v>#REF!</v>
      </c>
      <c r="C172" s="76" t="s">
        <v>5</v>
      </c>
      <c r="D172" s="125" t="e">
        <f>SUMIF(#REF!,"잡",#REF!)</f>
        <v>#REF!</v>
      </c>
      <c r="E172" s="88" t="e">
        <f>COUNTIF(#REF!,"잡국")</f>
        <v>#REF!</v>
      </c>
      <c r="F172" s="76" t="s">
        <v>5</v>
      </c>
      <c r="G172" s="125" t="e">
        <f>SUMIF(#REF!,"잡국",#REF!)</f>
        <v>#REF!</v>
      </c>
      <c r="H172" s="88" t="e">
        <f>COUNTIF(#REF!,"잡공")</f>
        <v>#REF!</v>
      </c>
      <c r="I172" s="76" t="s">
        <v>5</v>
      </c>
      <c r="J172" s="125" t="e">
        <f>SUMIF(#REF!,"잡공",#REF!)</f>
        <v>#REF!</v>
      </c>
      <c r="K172" s="88" t="e">
        <f t="shared" si="10"/>
        <v>#REF!</v>
      </c>
      <c r="L172" s="76" t="s">
        <v>5</v>
      </c>
      <c r="M172" s="125" t="e">
        <f t="shared" si="11"/>
        <v>#REF!</v>
      </c>
      <c r="N172" s="77"/>
      <c r="O172" s="64"/>
      <c r="P172" s="64"/>
      <c r="Q172" s="64"/>
      <c r="R172" s="64"/>
      <c r="S172" s="64"/>
      <c r="T172" s="64"/>
      <c r="U172" s="64"/>
      <c r="V172" s="64"/>
    </row>
    <row r="173" spans="1:22" s="65" customFormat="1" ht="23.1" hidden="1" customHeight="1">
      <c r="A173" s="75" t="s">
        <v>42</v>
      </c>
      <c r="B173" s="88" t="e">
        <f>COUNTIF(#REF!,"종")</f>
        <v>#REF!</v>
      </c>
      <c r="C173" s="76" t="s">
        <v>5</v>
      </c>
      <c r="D173" s="125" t="e">
        <f>SUMIF(#REF!,"종",#REF!)</f>
        <v>#REF!</v>
      </c>
      <c r="E173" s="88" t="e">
        <f>COUNTIF(#REF!,"종국")</f>
        <v>#REF!</v>
      </c>
      <c r="F173" s="76" t="s">
        <v>5</v>
      </c>
      <c r="G173" s="125" t="e">
        <f>SUMIF(#REF!,"종국",#REF!)</f>
        <v>#REF!</v>
      </c>
      <c r="H173" s="88" t="e">
        <f>COUNTIF(#REF!,"종공")</f>
        <v>#REF!</v>
      </c>
      <c r="I173" s="76" t="s">
        <v>5</v>
      </c>
      <c r="J173" s="125" t="e">
        <f>SUMIF(#REF!,"종공",#REF!)</f>
        <v>#REF!</v>
      </c>
      <c r="K173" s="88" t="e">
        <f t="shared" si="10"/>
        <v>#REF!</v>
      </c>
      <c r="L173" s="76" t="s">
        <v>5</v>
      </c>
      <c r="M173" s="125" t="e">
        <f t="shared" si="11"/>
        <v>#REF!</v>
      </c>
      <c r="N173" s="77"/>
      <c r="O173" s="64"/>
      <c r="P173" s="64"/>
      <c r="Q173" s="64"/>
      <c r="R173" s="64"/>
      <c r="S173" s="64"/>
      <c r="T173" s="64"/>
      <c r="U173" s="64"/>
      <c r="V173" s="64"/>
    </row>
    <row r="174" spans="1:22" s="65" customFormat="1" ht="23.1" hidden="1" customHeight="1">
      <c r="A174" s="79" t="s">
        <v>43</v>
      </c>
      <c r="B174" s="88" t="e">
        <f>COUNTIF(#REF!,"염")</f>
        <v>#REF!</v>
      </c>
      <c r="C174" s="76" t="s">
        <v>5</v>
      </c>
      <c r="D174" s="125" t="e">
        <f>SUMIF(#REF!,"염",#REF!)</f>
        <v>#REF!</v>
      </c>
      <c r="E174" s="88" t="e">
        <f>COUNTIF(#REF!,"염국")</f>
        <v>#REF!</v>
      </c>
      <c r="F174" s="76" t="s">
        <v>5</v>
      </c>
      <c r="G174" s="125" t="e">
        <f>SUMIF(#REF!,"염국",#REF!)</f>
        <v>#REF!</v>
      </c>
      <c r="H174" s="88" t="e">
        <f>COUNTIF(#REF!,"염공")</f>
        <v>#REF!</v>
      </c>
      <c r="I174" s="76" t="s">
        <v>5</v>
      </c>
      <c r="J174" s="125" t="e">
        <f>SUMIF(#REF!,"염공",#REF!)</f>
        <v>#REF!</v>
      </c>
      <c r="K174" s="88" t="e">
        <f t="shared" si="10"/>
        <v>#REF!</v>
      </c>
      <c r="L174" s="76" t="s">
        <v>5</v>
      </c>
      <c r="M174" s="125" t="e">
        <f t="shared" si="11"/>
        <v>#REF!</v>
      </c>
      <c r="N174" s="77"/>
      <c r="O174" s="64"/>
      <c r="P174" s="64"/>
      <c r="Q174" s="64"/>
      <c r="R174" s="64"/>
      <c r="S174" s="64"/>
      <c r="T174" s="64"/>
      <c r="U174" s="64"/>
      <c r="V174" s="64"/>
    </row>
    <row r="175" spans="1:22" s="65" customFormat="1" ht="23.1" hidden="1" customHeight="1">
      <c r="A175" s="79" t="s">
        <v>44</v>
      </c>
      <c r="B175" s="88" t="e">
        <f>COUNTIF(#REF!,"공")</f>
        <v>#REF!</v>
      </c>
      <c r="C175" s="76" t="s">
        <v>5</v>
      </c>
      <c r="D175" s="125" t="e">
        <f>SUMIF(#REF!,"공",#REF!)</f>
        <v>#REF!</v>
      </c>
      <c r="E175" s="88" t="e">
        <f>COUNTIF(#REF!,"공국")</f>
        <v>#REF!</v>
      </c>
      <c r="F175" s="76" t="s">
        <v>5</v>
      </c>
      <c r="G175" s="125" t="e">
        <f>SUMIF(#REF!,"공국",#REF!)</f>
        <v>#REF!</v>
      </c>
      <c r="H175" s="88" t="e">
        <f>COUNTIF(#REF!,"공공")</f>
        <v>#REF!</v>
      </c>
      <c r="I175" s="76" t="s">
        <v>5</v>
      </c>
      <c r="J175" s="125" t="e">
        <f>SUMIF(#REF!,"공공",#REF!)</f>
        <v>#REF!</v>
      </c>
      <c r="K175" s="88" t="e">
        <f t="shared" si="10"/>
        <v>#REF!</v>
      </c>
      <c r="L175" s="76" t="s">
        <v>5</v>
      </c>
      <c r="M175" s="125" t="e">
        <f t="shared" si="11"/>
        <v>#REF!</v>
      </c>
      <c r="N175" s="77"/>
      <c r="O175" s="64"/>
      <c r="P175" s="64"/>
      <c r="Q175" s="64"/>
      <c r="R175" s="64"/>
      <c r="S175" s="64"/>
      <c r="T175" s="64"/>
      <c r="U175" s="64"/>
      <c r="V175" s="64"/>
    </row>
    <row r="176" spans="1:22" s="65" customFormat="1" ht="23.1" hidden="1" customHeight="1">
      <c r="A176" s="79" t="s">
        <v>45</v>
      </c>
      <c r="B176" s="88" t="e">
        <f>COUNTIF(#REF!,"체")</f>
        <v>#REF!</v>
      </c>
      <c r="C176" s="76" t="s">
        <v>5</v>
      </c>
      <c r="D176" s="125" t="e">
        <f>SUMIF(#REF!,"체",#REF!)</f>
        <v>#REF!</v>
      </c>
      <c r="E176" s="88" t="e">
        <f>COUNTIF(#REF!,"체국")</f>
        <v>#REF!</v>
      </c>
      <c r="F176" s="76" t="s">
        <v>5</v>
      </c>
      <c r="G176" s="125" t="e">
        <f>SUMIF(#REF!,"체국",#REF!)</f>
        <v>#REF!</v>
      </c>
      <c r="H176" s="88" t="e">
        <f>COUNTIF(#REF!,"체공")</f>
        <v>#REF!</v>
      </c>
      <c r="I176" s="76" t="s">
        <v>5</v>
      </c>
      <c r="J176" s="125" t="e">
        <f>SUMIF(#REF!,"체공",#REF!)</f>
        <v>#REF!</v>
      </c>
      <c r="K176" s="88" t="e">
        <f t="shared" si="10"/>
        <v>#REF!</v>
      </c>
      <c r="L176" s="76" t="s">
        <v>5</v>
      </c>
      <c r="M176" s="125" t="e">
        <f t="shared" si="11"/>
        <v>#REF!</v>
      </c>
      <c r="N176" s="77"/>
      <c r="O176" s="64"/>
      <c r="P176" s="64"/>
      <c r="Q176" s="64"/>
      <c r="R176" s="64"/>
      <c r="S176" s="64"/>
      <c r="T176" s="64"/>
      <c r="U176" s="64"/>
      <c r="V176" s="64"/>
    </row>
    <row r="177" spans="1:22" s="65" customFormat="1" ht="23.1" hidden="1" customHeight="1">
      <c r="A177" s="79" t="s">
        <v>46</v>
      </c>
      <c r="B177" s="88" t="e">
        <f>COUNTIF(#REF!,"원")</f>
        <v>#REF!</v>
      </c>
      <c r="C177" s="76" t="s">
        <v>5</v>
      </c>
      <c r="D177" s="125" t="e">
        <f>SUMIF(#REF!,"원",#REF!)</f>
        <v>#REF!</v>
      </c>
      <c r="E177" s="88" t="e">
        <f>COUNTIF(#REF!,"원국")</f>
        <v>#REF!</v>
      </c>
      <c r="F177" s="76" t="s">
        <v>5</v>
      </c>
      <c r="G177" s="125" t="e">
        <f>SUMIF(#REF!,"원국",#REF!)</f>
        <v>#REF!</v>
      </c>
      <c r="H177" s="88" t="e">
        <f>COUNTIF(#REF!,"원공")</f>
        <v>#REF!</v>
      </c>
      <c r="I177" s="76" t="s">
        <v>5</v>
      </c>
      <c r="J177" s="125" t="e">
        <f>SUMIF(#REF!,"원공",#REF!)</f>
        <v>#REF!</v>
      </c>
      <c r="K177" s="88" t="e">
        <f t="shared" si="10"/>
        <v>#REF!</v>
      </c>
      <c r="L177" s="76" t="s">
        <v>5</v>
      </c>
      <c r="M177" s="125" t="e">
        <f t="shared" si="11"/>
        <v>#REF!</v>
      </c>
      <c r="N177" s="77"/>
      <c r="O177" s="64"/>
      <c r="P177" s="64"/>
      <c r="Q177" s="64"/>
      <c r="R177" s="64"/>
      <c r="S177" s="64"/>
      <c r="T177" s="64"/>
      <c r="U177" s="64"/>
      <c r="V177" s="64"/>
    </row>
    <row r="178" spans="1:22" s="65" customFormat="1" ht="23.1" hidden="1" customHeight="1">
      <c r="A178" s="79" t="s">
        <v>56</v>
      </c>
      <c r="B178" s="88" t="e">
        <f>COUNTIF(#REF!,"주")</f>
        <v>#REF!</v>
      </c>
      <c r="C178" s="76" t="s">
        <v>5</v>
      </c>
      <c r="D178" s="125" t="e">
        <f>SUMIF(#REF!,"주",#REF!)</f>
        <v>#REF!</v>
      </c>
      <c r="E178" s="88" t="e">
        <f>COUNTIF(#REF!,"주국")</f>
        <v>#REF!</v>
      </c>
      <c r="F178" s="76" t="s">
        <v>5</v>
      </c>
      <c r="G178" s="125" t="e">
        <f>SUMIF(#REF!,"주국",#REF!)</f>
        <v>#REF!</v>
      </c>
      <c r="H178" s="88" t="e">
        <f>COUNTIF(#REF!,"주공")</f>
        <v>#REF!</v>
      </c>
      <c r="I178" s="76" t="s">
        <v>5</v>
      </c>
      <c r="J178" s="125" t="e">
        <f>SUMIF(#REF!,"주공",#REF!)</f>
        <v>#REF!</v>
      </c>
      <c r="K178" s="88" t="e">
        <f t="shared" si="10"/>
        <v>#REF!</v>
      </c>
      <c r="L178" s="76" t="s">
        <v>5</v>
      </c>
      <c r="M178" s="125" t="e">
        <f t="shared" si="11"/>
        <v>#REF!</v>
      </c>
      <c r="N178" s="77"/>
      <c r="O178" s="64"/>
      <c r="P178" s="64"/>
      <c r="Q178" s="64"/>
      <c r="R178" s="64"/>
      <c r="S178" s="64"/>
      <c r="T178" s="64"/>
      <c r="U178" s="64"/>
      <c r="V178" s="64"/>
    </row>
    <row r="179" spans="1:22" s="65" customFormat="1" ht="23.1" hidden="1" customHeight="1">
      <c r="A179" s="79" t="s">
        <v>57</v>
      </c>
      <c r="B179" s="88" t="e">
        <f>COUNTIF(#REF!,"창")</f>
        <v>#REF!</v>
      </c>
      <c r="C179" s="76" t="s">
        <v>5</v>
      </c>
      <c r="D179" s="125" t="e">
        <f>SUMIF(#REF!,"창",#REF!)</f>
        <v>#REF!</v>
      </c>
      <c r="E179" s="88" t="e">
        <f>COUNTIF(#REF!,"창국")</f>
        <v>#REF!</v>
      </c>
      <c r="F179" s="76" t="s">
        <v>5</v>
      </c>
      <c r="G179" s="125" t="e">
        <f>SUMIF(#REF!,"창국",#REF!)</f>
        <v>#REF!</v>
      </c>
      <c r="H179" s="88" t="e">
        <f>COUNTIF(#REF!,"창공")</f>
        <v>#REF!</v>
      </c>
      <c r="I179" s="76" t="s">
        <v>5</v>
      </c>
      <c r="J179" s="125" t="e">
        <f>SUMIF(#REF!,"창공",#REF!)</f>
        <v>#REF!</v>
      </c>
      <c r="K179" s="88" t="e">
        <f t="shared" si="10"/>
        <v>#REF!</v>
      </c>
      <c r="L179" s="76" t="s">
        <v>5</v>
      </c>
      <c r="M179" s="125" t="e">
        <f t="shared" si="11"/>
        <v>#REF!</v>
      </c>
      <c r="N179" s="77"/>
      <c r="O179" s="64"/>
      <c r="P179" s="64"/>
      <c r="Q179" s="64"/>
      <c r="R179" s="64"/>
      <c r="S179" s="64"/>
      <c r="T179" s="64"/>
      <c r="U179" s="64"/>
      <c r="V179" s="64"/>
    </row>
    <row r="180" spans="1:22" s="65" customFormat="1" ht="23.1" hidden="1" customHeight="1">
      <c r="A180" s="80" t="s">
        <v>24</v>
      </c>
      <c r="B180" s="89" t="e">
        <f>COUNTIF(#REF!," ")</f>
        <v>#REF!</v>
      </c>
      <c r="C180" s="81" t="s">
        <v>5</v>
      </c>
      <c r="D180" s="126" t="e">
        <f>SUMIF(#REF!," ",#REF!)</f>
        <v>#REF!</v>
      </c>
      <c r="E180" s="89" t="e">
        <f>COUNTIF(#REF!," 국")</f>
        <v>#REF!</v>
      </c>
      <c r="F180" s="81" t="s">
        <v>5</v>
      </c>
      <c r="G180" s="126" t="e">
        <f>SUMIF(#REF!," 국",#REF!)</f>
        <v>#REF!</v>
      </c>
      <c r="H180" s="89" t="e">
        <f>COUNTIF(#REF!," 공")</f>
        <v>#REF!</v>
      </c>
      <c r="I180" s="81" t="s">
        <v>5</v>
      </c>
      <c r="J180" s="126" t="e">
        <f>SUMIF(#REF!," 공",#REF!)</f>
        <v>#REF!</v>
      </c>
      <c r="K180" s="89" t="e">
        <f t="shared" si="10"/>
        <v>#REF!</v>
      </c>
      <c r="L180" s="81" t="s">
        <v>5</v>
      </c>
      <c r="M180" s="126" t="e">
        <f t="shared" si="11"/>
        <v>#REF!</v>
      </c>
      <c r="N180" s="82"/>
      <c r="O180" s="64"/>
      <c r="P180" s="64"/>
      <c r="Q180" s="64"/>
      <c r="R180" s="64"/>
      <c r="S180" s="64"/>
      <c r="T180" s="64"/>
      <c r="U180" s="64"/>
      <c r="V180" s="64"/>
    </row>
    <row r="181" spans="1:22" s="59" customFormat="1" ht="20.100000000000001" hidden="1" customHeight="1">
      <c r="A181" s="56" t="e">
        <f>IF(EXACT(O185,O186),,"검산확인요!!!")</f>
        <v>#REF!</v>
      </c>
      <c r="B181" s="57"/>
      <c r="C181" s="57"/>
      <c r="D181" s="95"/>
      <c r="E181" s="57"/>
      <c r="F181" s="57"/>
      <c r="G181" s="95"/>
      <c r="H181" s="57"/>
      <c r="I181" s="57"/>
      <c r="J181" s="95"/>
      <c r="K181" s="86" t="e">
        <f>IF(ISBLANK(#REF!),,#REF!)</f>
        <v>#REF!</v>
      </c>
      <c r="L181" s="58"/>
      <c r="M181" s="97"/>
      <c r="N181" s="53"/>
    </row>
    <row r="182" spans="1:22" s="59" customFormat="1" ht="9.9499999999999993" hidden="1" customHeight="1">
      <c r="A182" s="56"/>
      <c r="B182" s="57"/>
      <c r="C182" s="57"/>
      <c r="D182" s="95"/>
      <c r="E182" s="57"/>
      <c r="F182" s="57"/>
      <c r="G182" s="95"/>
      <c r="H182" s="57"/>
      <c r="I182" s="57"/>
      <c r="J182" s="95"/>
      <c r="K182" s="57"/>
      <c r="L182" s="57"/>
      <c r="M182" s="95"/>
      <c r="N182" s="57"/>
    </row>
    <row r="183" spans="1:22" s="65" customFormat="1" ht="27.95" hidden="1" customHeight="1">
      <c r="A183" s="60" t="s">
        <v>2</v>
      </c>
      <c r="B183" s="101" t="s">
        <v>3</v>
      </c>
      <c r="C183" s="102"/>
      <c r="D183" s="103"/>
      <c r="E183" s="101" t="s">
        <v>47</v>
      </c>
      <c r="F183" s="102"/>
      <c r="G183" s="103"/>
      <c r="H183" s="101" t="s">
        <v>58</v>
      </c>
      <c r="I183" s="102"/>
      <c r="J183" s="103"/>
      <c r="K183" s="101" t="s">
        <v>48</v>
      </c>
      <c r="L183" s="102"/>
      <c r="M183" s="103"/>
      <c r="N183" s="63" t="s">
        <v>22</v>
      </c>
      <c r="O183" s="64"/>
      <c r="S183" s="64"/>
      <c r="T183" s="64"/>
      <c r="U183" s="64"/>
      <c r="V183" s="64"/>
    </row>
    <row r="184" spans="1:22" s="65" customFormat="1" ht="27.95" hidden="1" customHeight="1">
      <c r="A184" s="66"/>
      <c r="B184" s="98" t="s">
        <v>4</v>
      </c>
      <c r="C184" s="99" t="s">
        <v>5</v>
      </c>
      <c r="D184" s="100" t="s">
        <v>49</v>
      </c>
      <c r="E184" s="98" t="s">
        <v>4</v>
      </c>
      <c r="F184" s="99" t="s">
        <v>5</v>
      </c>
      <c r="G184" s="100" t="s">
        <v>49</v>
      </c>
      <c r="H184" s="98" t="s">
        <v>4</v>
      </c>
      <c r="I184" s="99" t="s">
        <v>5</v>
      </c>
      <c r="J184" s="100" t="s">
        <v>49</v>
      </c>
      <c r="K184" s="98" t="s">
        <v>4</v>
      </c>
      <c r="L184" s="99" t="s">
        <v>5</v>
      </c>
      <c r="M184" s="100" t="s">
        <v>49</v>
      </c>
      <c r="N184" s="69"/>
      <c r="P184" s="64"/>
      <c r="Q184" s="70" t="s">
        <v>50</v>
      </c>
      <c r="R184" s="70" t="s">
        <v>51</v>
      </c>
      <c r="S184" s="70" t="s">
        <v>52</v>
      </c>
      <c r="T184" s="70" t="s">
        <v>53</v>
      </c>
      <c r="U184" s="64"/>
      <c r="V184" s="64"/>
    </row>
    <row r="185" spans="1:22" s="65" customFormat="1" ht="23.1" hidden="1" customHeight="1">
      <c r="A185" s="71" t="s">
        <v>3</v>
      </c>
      <c r="B185" s="87" t="e">
        <f>SUM(B186:B210)</f>
        <v>#REF!</v>
      </c>
      <c r="C185" s="72" t="s">
        <v>5</v>
      </c>
      <c r="D185" s="124" t="e">
        <f>SUM(D186:D210)</f>
        <v>#REF!</v>
      </c>
      <c r="E185" s="87" t="e">
        <f>SUM(E186:E210)</f>
        <v>#REF!</v>
      </c>
      <c r="F185" s="72" t="s">
        <v>5</v>
      </c>
      <c r="G185" s="124" t="e">
        <f>SUM(G186:G210)</f>
        <v>#REF!</v>
      </c>
      <c r="H185" s="87" t="e">
        <f>SUM(H186:H210)</f>
        <v>#REF!</v>
      </c>
      <c r="I185" s="72" t="s">
        <v>5</v>
      </c>
      <c r="J185" s="124" t="e">
        <f>SUM(J186:J210)</f>
        <v>#REF!</v>
      </c>
      <c r="K185" s="87" t="e">
        <f>SUM(K186:K210)</f>
        <v>#REF!</v>
      </c>
      <c r="L185" s="72" t="s">
        <v>5</v>
      </c>
      <c r="M185" s="124" t="e">
        <f>SUM(M186:M210)</f>
        <v>#REF!</v>
      </c>
      <c r="N185" s="73"/>
      <c r="O185" s="64" t="e">
        <f>IF(EXACT(Q185,T185),"맞음","틀림")</f>
        <v>#REF!</v>
      </c>
      <c r="P185" s="64" t="s">
        <v>4</v>
      </c>
      <c r="Q185" s="74" t="e">
        <f>SUM(B186:B210)</f>
        <v>#REF!</v>
      </c>
      <c r="R185" s="74" t="e">
        <f>SUM(H186:H210)</f>
        <v>#REF!</v>
      </c>
      <c r="S185" s="74" t="e">
        <f>SUM(K186:K210)</f>
        <v>#REF!</v>
      </c>
      <c r="T185" s="74" t="e">
        <f>K185+H185</f>
        <v>#REF!</v>
      </c>
      <c r="U185" s="64"/>
      <c r="V185" s="64"/>
    </row>
    <row r="186" spans="1:22" s="65" customFormat="1" ht="23.1" hidden="1" customHeight="1">
      <c r="A186" s="75" t="s">
        <v>7</v>
      </c>
      <c r="B186" s="88" t="e">
        <f>COUNTIF(#REF!,"전")</f>
        <v>#REF!</v>
      </c>
      <c r="C186" s="76" t="s">
        <v>5</v>
      </c>
      <c r="D186" s="125" t="e">
        <f>SUMIF(#REF!,"전",#REF!)</f>
        <v>#REF!</v>
      </c>
      <c r="E186" s="88" t="e">
        <f>COUNTIF(#REF!,"전국")</f>
        <v>#REF!</v>
      </c>
      <c r="F186" s="76" t="s">
        <v>5</v>
      </c>
      <c r="G186" s="125" t="e">
        <f>SUMIF(#REF!,"전국",#REF!)</f>
        <v>#REF!</v>
      </c>
      <c r="H186" s="88" t="e">
        <f>COUNTIF(#REF!,"전공")</f>
        <v>#REF!</v>
      </c>
      <c r="I186" s="76" t="s">
        <v>5</v>
      </c>
      <c r="J186" s="125" t="e">
        <f>SUMIF(#REF!,"전공",#REF!)</f>
        <v>#REF!</v>
      </c>
      <c r="K186" s="88" t="e">
        <f t="shared" ref="K186:K210" si="12">B186-H186</f>
        <v>#REF!</v>
      </c>
      <c r="L186" s="76" t="s">
        <v>5</v>
      </c>
      <c r="M186" s="125" t="e">
        <f t="shared" ref="M186:M210" si="13">D186-J186</f>
        <v>#REF!</v>
      </c>
      <c r="N186" s="77"/>
      <c r="O186" s="64" t="e">
        <f>IF(EXACT(Q186,T186),"맞음","틀림")</f>
        <v>#REF!</v>
      </c>
      <c r="P186" s="64" t="s">
        <v>54</v>
      </c>
      <c r="Q186" s="74" t="e">
        <f>SUM(D186:D210)</f>
        <v>#REF!</v>
      </c>
      <c r="R186" s="74" t="e">
        <f>SUM(J186:J210)</f>
        <v>#REF!</v>
      </c>
      <c r="S186" s="74" t="e">
        <f>SUM(M186:M210)</f>
        <v>#REF!</v>
      </c>
      <c r="T186" s="74" t="e">
        <f>J185+M185</f>
        <v>#REF!</v>
      </c>
      <c r="U186" s="64"/>
      <c r="V186" s="64"/>
    </row>
    <row r="187" spans="1:22" s="65" customFormat="1" ht="23.1" hidden="1" customHeight="1">
      <c r="A187" s="75" t="s">
        <v>8</v>
      </c>
      <c r="B187" s="88" t="e">
        <f>COUNTIF(#REF!,"답")</f>
        <v>#REF!</v>
      </c>
      <c r="C187" s="76" t="s">
        <v>5</v>
      </c>
      <c r="D187" s="125" t="e">
        <f>SUMIF(#REF!,"답",#REF!)</f>
        <v>#REF!</v>
      </c>
      <c r="E187" s="88" t="e">
        <f>COUNTIF(#REF!,"답국")</f>
        <v>#REF!</v>
      </c>
      <c r="F187" s="76" t="s">
        <v>5</v>
      </c>
      <c r="G187" s="125" t="e">
        <f>SUMIF(#REF!,"답국",#REF!)</f>
        <v>#REF!</v>
      </c>
      <c r="H187" s="88" t="e">
        <f>COUNTIF(#REF!,"답공")</f>
        <v>#REF!</v>
      </c>
      <c r="I187" s="76" t="s">
        <v>5</v>
      </c>
      <c r="J187" s="125" t="e">
        <f>SUMIF(#REF!,"답공",#REF!)</f>
        <v>#REF!</v>
      </c>
      <c r="K187" s="88" t="e">
        <f t="shared" si="12"/>
        <v>#REF!</v>
      </c>
      <c r="L187" s="76" t="s">
        <v>5</v>
      </c>
      <c r="M187" s="125" t="e">
        <f t="shared" si="13"/>
        <v>#REF!</v>
      </c>
      <c r="N187" s="77"/>
      <c r="Q187" s="64"/>
      <c r="S187" s="64"/>
      <c r="U187" s="64"/>
      <c r="V187" s="64"/>
    </row>
    <row r="188" spans="1:22" s="65" customFormat="1" ht="23.1" hidden="1" customHeight="1">
      <c r="A188" s="78" t="s">
        <v>9</v>
      </c>
      <c r="B188" s="88" t="e">
        <f>COUNTIF(#REF!,"임")</f>
        <v>#REF!</v>
      </c>
      <c r="C188" s="76" t="s">
        <v>5</v>
      </c>
      <c r="D188" s="125" t="e">
        <f>SUMIF(#REF!,"임",#REF!)</f>
        <v>#REF!</v>
      </c>
      <c r="E188" s="88" t="e">
        <f>COUNTIF(#REF!,"임국")</f>
        <v>#REF!</v>
      </c>
      <c r="F188" s="76" t="s">
        <v>5</v>
      </c>
      <c r="G188" s="125" t="e">
        <f>SUMIF(#REF!,"임국",#REF!)</f>
        <v>#REF!</v>
      </c>
      <c r="H188" s="88" t="e">
        <f>COUNTIF(#REF!,"임공")</f>
        <v>#REF!</v>
      </c>
      <c r="I188" s="76" t="s">
        <v>5</v>
      </c>
      <c r="J188" s="125" t="e">
        <f>SUMIF(#REF!,"임공",#REF!)</f>
        <v>#REF!</v>
      </c>
      <c r="K188" s="88" t="e">
        <f t="shared" si="12"/>
        <v>#REF!</v>
      </c>
      <c r="L188" s="76" t="s">
        <v>5</v>
      </c>
      <c r="M188" s="125" t="e">
        <f t="shared" si="13"/>
        <v>#REF!</v>
      </c>
      <c r="N188" s="77"/>
      <c r="Q188" s="64"/>
      <c r="S188" s="64"/>
      <c r="U188" s="64"/>
      <c r="V188" s="64"/>
    </row>
    <row r="189" spans="1:22" s="65" customFormat="1" ht="23.1" hidden="1" customHeight="1">
      <c r="A189" s="75" t="s">
        <v>10</v>
      </c>
      <c r="B189" s="88" t="e">
        <f>COUNTIF(#REF!,"대")</f>
        <v>#REF!</v>
      </c>
      <c r="C189" s="76" t="s">
        <v>5</v>
      </c>
      <c r="D189" s="125" t="e">
        <f>SUMIF(#REF!,"대",#REF!)</f>
        <v>#REF!</v>
      </c>
      <c r="E189" s="88" t="e">
        <f>COUNTIF(#REF!,"대국")</f>
        <v>#REF!</v>
      </c>
      <c r="F189" s="76" t="s">
        <v>5</v>
      </c>
      <c r="G189" s="125" t="e">
        <f>SUMIF(#REF!,"대국",#REF!)</f>
        <v>#REF!</v>
      </c>
      <c r="H189" s="88" t="e">
        <f>COUNTIF(#REF!,"대공")</f>
        <v>#REF!</v>
      </c>
      <c r="I189" s="76" t="s">
        <v>5</v>
      </c>
      <c r="J189" s="125" t="e">
        <f>SUMIF(#REF!,"대공",#REF!)</f>
        <v>#REF!</v>
      </c>
      <c r="K189" s="88" t="e">
        <f t="shared" si="12"/>
        <v>#REF!</v>
      </c>
      <c r="L189" s="76" t="s">
        <v>5</v>
      </c>
      <c r="M189" s="125" t="e">
        <f t="shared" si="13"/>
        <v>#REF!</v>
      </c>
      <c r="N189" s="77"/>
      <c r="O189" s="64"/>
      <c r="P189" s="64"/>
      <c r="Q189" s="64"/>
      <c r="R189" s="64"/>
      <c r="S189" s="64"/>
      <c r="T189" s="64"/>
      <c r="U189" s="64"/>
      <c r="V189" s="64"/>
    </row>
    <row r="190" spans="1:22" s="65" customFormat="1" ht="23.1" hidden="1" customHeight="1">
      <c r="A190" s="75" t="s">
        <v>11</v>
      </c>
      <c r="B190" s="88" t="e">
        <f>COUNTIF(#REF!,"도")</f>
        <v>#REF!</v>
      </c>
      <c r="C190" s="76" t="s">
        <v>5</v>
      </c>
      <c r="D190" s="125" t="e">
        <f>SUMIF(#REF!,"도",#REF!)</f>
        <v>#REF!</v>
      </c>
      <c r="E190" s="88" t="e">
        <f>COUNTIF(#REF!,"도국")</f>
        <v>#REF!</v>
      </c>
      <c r="F190" s="76" t="s">
        <v>5</v>
      </c>
      <c r="G190" s="125" t="e">
        <f>SUMIF(#REF!,"도국",#REF!)</f>
        <v>#REF!</v>
      </c>
      <c r="H190" s="88" t="e">
        <f>COUNTIF(#REF!,"도공")</f>
        <v>#REF!</v>
      </c>
      <c r="I190" s="76" t="s">
        <v>5</v>
      </c>
      <c r="J190" s="125" t="e">
        <f>SUMIF(#REF!,"도공",#REF!)</f>
        <v>#REF!</v>
      </c>
      <c r="K190" s="88" t="e">
        <f t="shared" si="12"/>
        <v>#REF!</v>
      </c>
      <c r="L190" s="76" t="s">
        <v>5</v>
      </c>
      <c r="M190" s="125" t="e">
        <f t="shared" si="13"/>
        <v>#REF!</v>
      </c>
      <c r="N190" s="77"/>
      <c r="O190" s="64"/>
      <c r="P190" s="64"/>
      <c r="Q190" s="64"/>
      <c r="R190" s="64"/>
      <c r="S190" s="64"/>
      <c r="T190" s="64"/>
      <c r="U190" s="64"/>
      <c r="V190" s="64"/>
    </row>
    <row r="191" spans="1:22" s="65" customFormat="1" ht="23.1" hidden="1" customHeight="1">
      <c r="A191" s="75" t="s">
        <v>13</v>
      </c>
      <c r="B191" s="88" t="e">
        <f>COUNTIF(#REF!,"구")</f>
        <v>#REF!</v>
      </c>
      <c r="C191" s="76" t="s">
        <v>5</v>
      </c>
      <c r="D191" s="125" t="e">
        <f>SUMIF(#REF!,"구",#REF!)</f>
        <v>#REF!</v>
      </c>
      <c r="E191" s="88" t="e">
        <f>COUNTIF(#REF!,"구국")</f>
        <v>#REF!</v>
      </c>
      <c r="F191" s="76" t="s">
        <v>5</v>
      </c>
      <c r="G191" s="125" t="e">
        <f>SUMIF(#REF!,"구국",#REF!)</f>
        <v>#REF!</v>
      </c>
      <c r="H191" s="88" t="e">
        <f>COUNTIF(#REF!,"구공")</f>
        <v>#REF!</v>
      </c>
      <c r="I191" s="76" t="s">
        <v>5</v>
      </c>
      <c r="J191" s="125" t="e">
        <f>SUMIF(#REF!,"구공",#REF!)</f>
        <v>#REF!</v>
      </c>
      <c r="K191" s="88" t="e">
        <f t="shared" si="12"/>
        <v>#REF!</v>
      </c>
      <c r="L191" s="76" t="s">
        <v>5</v>
      </c>
      <c r="M191" s="125" t="e">
        <f t="shared" si="13"/>
        <v>#REF!</v>
      </c>
      <c r="N191" s="77"/>
      <c r="O191" s="64"/>
      <c r="P191" s="64"/>
      <c r="Q191" s="64"/>
      <c r="R191" s="64"/>
      <c r="S191" s="64"/>
      <c r="T191" s="64"/>
      <c r="U191" s="64"/>
      <c r="V191" s="64"/>
    </row>
    <row r="192" spans="1:22" s="65" customFormat="1" ht="23.1" hidden="1" customHeight="1">
      <c r="A192" s="75" t="s">
        <v>12</v>
      </c>
      <c r="B192" s="88" t="e">
        <f>COUNTIF(#REF!,"천")</f>
        <v>#REF!</v>
      </c>
      <c r="C192" s="76" t="s">
        <v>5</v>
      </c>
      <c r="D192" s="125" t="e">
        <f>SUMIF(#REF!,"천",#REF!)</f>
        <v>#REF!</v>
      </c>
      <c r="E192" s="88" t="e">
        <f>COUNTIF(#REF!,"천국")</f>
        <v>#REF!</v>
      </c>
      <c r="F192" s="76" t="s">
        <v>5</v>
      </c>
      <c r="G192" s="125" t="e">
        <f>SUMIF(#REF!,"천국",#REF!)</f>
        <v>#REF!</v>
      </c>
      <c r="H192" s="88" t="e">
        <f>COUNTIF(#REF!,"천공")</f>
        <v>#REF!</v>
      </c>
      <c r="I192" s="76" t="s">
        <v>5</v>
      </c>
      <c r="J192" s="125" t="e">
        <f>SUMIF(#REF!,"천공",#REF!)</f>
        <v>#REF!</v>
      </c>
      <c r="K192" s="88" t="e">
        <f t="shared" si="12"/>
        <v>#REF!</v>
      </c>
      <c r="L192" s="76" t="s">
        <v>5</v>
      </c>
      <c r="M192" s="125" t="e">
        <f t="shared" si="13"/>
        <v>#REF!</v>
      </c>
      <c r="N192" s="77"/>
      <c r="O192" s="64"/>
      <c r="P192" s="64"/>
      <c r="Q192" s="64"/>
      <c r="R192" s="64"/>
      <c r="S192" s="64"/>
      <c r="T192" s="64"/>
      <c r="U192" s="64"/>
      <c r="V192" s="64"/>
    </row>
    <row r="193" spans="1:22" s="65" customFormat="1" ht="23.1" hidden="1" customHeight="1">
      <c r="A193" s="75" t="s">
        <v>15</v>
      </c>
      <c r="B193" s="88" t="e">
        <f>COUNTIF(#REF!,"유")</f>
        <v>#REF!</v>
      </c>
      <c r="C193" s="76" t="s">
        <v>5</v>
      </c>
      <c r="D193" s="125" t="e">
        <f>SUMIF(#REF!,"유",#REF!)</f>
        <v>#REF!</v>
      </c>
      <c r="E193" s="88" t="e">
        <f>COUNTIF(#REF!,"유국")</f>
        <v>#REF!</v>
      </c>
      <c r="F193" s="76" t="s">
        <v>5</v>
      </c>
      <c r="G193" s="125" t="e">
        <f>SUMIF(#REF!,"유국",#REF!)</f>
        <v>#REF!</v>
      </c>
      <c r="H193" s="88" t="e">
        <f>COUNTIF(#REF!,"유공")</f>
        <v>#REF!</v>
      </c>
      <c r="I193" s="76" t="s">
        <v>5</v>
      </c>
      <c r="J193" s="125" t="e">
        <f>SUMIF(#REF!,"유공",#REF!)</f>
        <v>#REF!</v>
      </c>
      <c r="K193" s="88" t="e">
        <f t="shared" si="12"/>
        <v>#REF!</v>
      </c>
      <c r="L193" s="76" t="s">
        <v>5</v>
      </c>
      <c r="M193" s="125" t="e">
        <f t="shared" si="13"/>
        <v>#REF!</v>
      </c>
      <c r="N193" s="77"/>
      <c r="O193" s="64"/>
      <c r="P193" s="64"/>
      <c r="Q193" s="64"/>
      <c r="R193" s="64"/>
      <c r="S193" s="64"/>
      <c r="T193" s="64"/>
      <c r="U193" s="64"/>
      <c r="V193" s="64"/>
    </row>
    <row r="194" spans="1:22" s="65" customFormat="1" ht="23.1" hidden="1" customHeight="1">
      <c r="A194" s="75" t="s">
        <v>14</v>
      </c>
      <c r="B194" s="88" t="e">
        <f>COUNTIF(#REF!,"제")</f>
        <v>#REF!</v>
      </c>
      <c r="C194" s="76" t="s">
        <v>5</v>
      </c>
      <c r="D194" s="125" t="e">
        <f>SUMIF(#REF!,"제",#REF!)</f>
        <v>#REF!</v>
      </c>
      <c r="E194" s="88" t="e">
        <f>COUNTIF(#REF!,"제국")</f>
        <v>#REF!</v>
      </c>
      <c r="F194" s="76" t="s">
        <v>5</v>
      </c>
      <c r="G194" s="125" t="e">
        <f>SUMIF(#REF!,"제국",#REF!)</f>
        <v>#REF!</v>
      </c>
      <c r="H194" s="88" t="e">
        <f>COUNTIF(#REF!,"제공")</f>
        <v>#REF!</v>
      </c>
      <c r="I194" s="76" t="s">
        <v>5</v>
      </c>
      <c r="J194" s="125" t="e">
        <f>SUMIF(#REF!,"제공",#REF!)</f>
        <v>#REF!</v>
      </c>
      <c r="K194" s="88" t="e">
        <f t="shared" si="12"/>
        <v>#REF!</v>
      </c>
      <c r="L194" s="76" t="s">
        <v>5</v>
      </c>
      <c r="M194" s="125" t="e">
        <f t="shared" si="13"/>
        <v>#REF!</v>
      </c>
      <c r="N194" s="77"/>
      <c r="O194" s="64"/>
      <c r="P194" s="64"/>
      <c r="Q194" s="64"/>
      <c r="R194" s="64"/>
      <c r="S194" s="64"/>
      <c r="T194" s="64"/>
      <c r="U194" s="64"/>
      <c r="V194" s="64"/>
    </row>
    <row r="195" spans="1:22" s="65" customFormat="1" ht="23.1" hidden="1" customHeight="1">
      <c r="A195" s="75" t="s">
        <v>16</v>
      </c>
      <c r="B195" s="88" t="e">
        <f>COUNTIF(#REF!,"과")</f>
        <v>#REF!</v>
      </c>
      <c r="C195" s="76" t="s">
        <v>5</v>
      </c>
      <c r="D195" s="125" t="e">
        <f>SUMIF(#REF!,"과",#REF!)</f>
        <v>#REF!</v>
      </c>
      <c r="E195" s="88" t="e">
        <f>COUNTIF(#REF!,"과국")</f>
        <v>#REF!</v>
      </c>
      <c r="F195" s="76" t="s">
        <v>5</v>
      </c>
      <c r="G195" s="125" t="e">
        <f>SUMIF(#REF!,"과국",#REF!)</f>
        <v>#REF!</v>
      </c>
      <c r="H195" s="88" t="e">
        <f>COUNTIF(#REF!,"과공")</f>
        <v>#REF!</v>
      </c>
      <c r="I195" s="76" t="s">
        <v>5</v>
      </c>
      <c r="J195" s="125" t="e">
        <f>SUMIF(#REF!,"과공",#REF!)</f>
        <v>#REF!</v>
      </c>
      <c r="K195" s="88" t="e">
        <f t="shared" si="12"/>
        <v>#REF!</v>
      </c>
      <c r="L195" s="76" t="s">
        <v>5</v>
      </c>
      <c r="M195" s="125" t="e">
        <f t="shared" si="13"/>
        <v>#REF!</v>
      </c>
      <c r="N195" s="77"/>
      <c r="O195" s="64"/>
      <c r="P195" s="64"/>
      <c r="Q195" s="64"/>
      <c r="R195" s="64"/>
      <c r="S195" s="64"/>
      <c r="T195" s="64"/>
      <c r="U195" s="64"/>
      <c r="V195" s="64"/>
    </row>
    <row r="196" spans="1:22" s="65" customFormat="1" ht="23.1" hidden="1" customHeight="1">
      <c r="A196" s="75" t="s">
        <v>21</v>
      </c>
      <c r="B196" s="88" t="e">
        <f>COUNTIF(#REF!,"장")</f>
        <v>#REF!</v>
      </c>
      <c r="C196" s="76" t="s">
        <v>5</v>
      </c>
      <c r="D196" s="125" t="e">
        <f>SUMIF(#REF!,"장",#REF!)</f>
        <v>#REF!</v>
      </c>
      <c r="E196" s="88" t="e">
        <f>COUNTIF(#REF!,"장국")</f>
        <v>#REF!</v>
      </c>
      <c r="F196" s="76" t="s">
        <v>5</v>
      </c>
      <c r="G196" s="125" t="e">
        <f>SUMIF(#REF!,"장국",#REF!)</f>
        <v>#REF!</v>
      </c>
      <c r="H196" s="88" t="e">
        <f>COUNTIF(#REF!,"장공")</f>
        <v>#REF!</v>
      </c>
      <c r="I196" s="76" t="s">
        <v>5</v>
      </c>
      <c r="J196" s="125" t="e">
        <f>SUMIF(#REF!,"장공",#REF!)</f>
        <v>#REF!</v>
      </c>
      <c r="K196" s="88" t="e">
        <f t="shared" si="12"/>
        <v>#REF!</v>
      </c>
      <c r="L196" s="76" t="s">
        <v>5</v>
      </c>
      <c r="M196" s="125" t="e">
        <f t="shared" si="13"/>
        <v>#REF!</v>
      </c>
      <c r="N196" s="77"/>
      <c r="O196" s="64"/>
      <c r="P196" s="64"/>
      <c r="Q196" s="64"/>
      <c r="R196" s="64"/>
      <c r="S196" s="64"/>
      <c r="T196" s="64"/>
      <c r="U196" s="64"/>
      <c r="V196" s="64"/>
    </row>
    <row r="197" spans="1:22" s="65" customFormat="1" ht="23.1" hidden="1" customHeight="1">
      <c r="A197" s="75" t="s">
        <v>18</v>
      </c>
      <c r="B197" s="88" t="e">
        <f>COUNTIF(#REF!,"목")</f>
        <v>#REF!</v>
      </c>
      <c r="C197" s="76" t="s">
        <v>5</v>
      </c>
      <c r="D197" s="125" t="e">
        <f>SUMIF(#REF!,"목",#REF!)</f>
        <v>#REF!</v>
      </c>
      <c r="E197" s="88" t="e">
        <f>COUNTIF(#REF!,"목국")</f>
        <v>#REF!</v>
      </c>
      <c r="F197" s="76" t="s">
        <v>5</v>
      </c>
      <c r="G197" s="125" t="e">
        <f>SUMIF(#REF!,"목국",#REF!)</f>
        <v>#REF!</v>
      </c>
      <c r="H197" s="88" t="e">
        <f>COUNTIF(#REF!,"목공")</f>
        <v>#REF!</v>
      </c>
      <c r="I197" s="76" t="s">
        <v>5</v>
      </c>
      <c r="J197" s="125" t="e">
        <f>SUMIF(#REF!,"목공",#REF!)</f>
        <v>#REF!</v>
      </c>
      <c r="K197" s="88" t="e">
        <f t="shared" si="12"/>
        <v>#REF!</v>
      </c>
      <c r="L197" s="76" t="s">
        <v>5</v>
      </c>
      <c r="M197" s="125" t="e">
        <f t="shared" si="13"/>
        <v>#REF!</v>
      </c>
      <c r="N197" s="77"/>
      <c r="O197" s="64"/>
      <c r="P197" s="64"/>
      <c r="Q197" s="64"/>
      <c r="R197" s="64"/>
      <c r="S197" s="64"/>
      <c r="T197" s="64"/>
      <c r="U197" s="64"/>
      <c r="V197" s="64"/>
    </row>
    <row r="198" spans="1:22" s="65" customFormat="1" ht="23.1" hidden="1" customHeight="1">
      <c r="A198" s="75" t="s">
        <v>23</v>
      </c>
      <c r="B198" s="88" t="e">
        <f>COUNTIF(#REF!,"학")</f>
        <v>#REF!</v>
      </c>
      <c r="C198" s="76" t="s">
        <v>5</v>
      </c>
      <c r="D198" s="125" t="e">
        <f>SUMIF(#REF!,"학",#REF!)</f>
        <v>#REF!</v>
      </c>
      <c r="E198" s="88" t="e">
        <f>COUNTIF(#REF!,"학국")</f>
        <v>#REF!</v>
      </c>
      <c r="F198" s="76" t="s">
        <v>5</v>
      </c>
      <c r="G198" s="125" t="e">
        <f>SUMIF(#REF!,"학국",#REF!)</f>
        <v>#REF!</v>
      </c>
      <c r="H198" s="88" t="e">
        <f>COUNTIF(#REF!,"학공")</f>
        <v>#REF!</v>
      </c>
      <c r="I198" s="76" t="s">
        <v>5</v>
      </c>
      <c r="J198" s="125" t="e">
        <f>SUMIF(#REF!,"학공",#REF!)</f>
        <v>#REF!</v>
      </c>
      <c r="K198" s="88" t="e">
        <f t="shared" si="12"/>
        <v>#REF!</v>
      </c>
      <c r="L198" s="76" t="s">
        <v>5</v>
      </c>
      <c r="M198" s="125" t="e">
        <f t="shared" si="13"/>
        <v>#REF!</v>
      </c>
      <c r="N198" s="77"/>
      <c r="O198" s="64"/>
      <c r="P198" s="64"/>
      <c r="Q198" s="64"/>
      <c r="R198" s="64"/>
      <c r="S198" s="64"/>
      <c r="T198" s="64"/>
      <c r="U198" s="64"/>
      <c r="V198" s="64"/>
    </row>
    <row r="199" spans="1:22" s="65" customFormat="1" ht="23.1" hidden="1" customHeight="1">
      <c r="A199" s="75" t="s">
        <v>41</v>
      </c>
      <c r="B199" s="88" t="e">
        <f>COUNTIF(#REF!,"철")</f>
        <v>#REF!</v>
      </c>
      <c r="C199" s="76" t="s">
        <v>5</v>
      </c>
      <c r="D199" s="125" t="e">
        <f>SUMIF(#REF!,"철",#REF!)</f>
        <v>#REF!</v>
      </c>
      <c r="E199" s="88" t="e">
        <f>COUNTIF(#REF!,"철국")</f>
        <v>#REF!</v>
      </c>
      <c r="F199" s="76" t="s">
        <v>5</v>
      </c>
      <c r="G199" s="125" t="e">
        <f>SUMIF(#REF!,"철국",#REF!)</f>
        <v>#REF!</v>
      </c>
      <c r="H199" s="88" t="e">
        <f>COUNTIF(#REF!,"철공")</f>
        <v>#REF!</v>
      </c>
      <c r="I199" s="76" t="s">
        <v>5</v>
      </c>
      <c r="J199" s="125" t="e">
        <f>SUMIF(#REF!,"철공",#REF!)</f>
        <v>#REF!</v>
      </c>
      <c r="K199" s="88" t="e">
        <f t="shared" si="12"/>
        <v>#REF!</v>
      </c>
      <c r="L199" s="76" t="s">
        <v>5</v>
      </c>
      <c r="M199" s="125" t="e">
        <f t="shared" si="13"/>
        <v>#REF!</v>
      </c>
      <c r="N199" s="77"/>
      <c r="O199" s="64"/>
      <c r="P199" s="64"/>
      <c r="Q199" s="64"/>
      <c r="R199" s="64"/>
      <c r="S199" s="64"/>
      <c r="T199" s="64"/>
      <c r="U199" s="64"/>
      <c r="V199" s="64"/>
    </row>
    <row r="200" spans="1:22" s="65" customFormat="1" ht="23.1" hidden="1" customHeight="1">
      <c r="A200" s="75" t="s">
        <v>17</v>
      </c>
      <c r="B200" s="88" t="e">
        <f>COUNTIF(#REF!,"묘")</f>
        <v>#REF!</v>
      </c>
      <c r="C200" s="76" t="s">
        <v>5</v>
      </c>
      <c r="D200" s="125" t="e">
        <f>SUMIF(#REF!,"묘",#REF!)</f>
        <v>#REF!</v>
      </c>
      <c r="E200" s="88" t="e">
        <f>COUNTIF(#REF!,"묘국")</f>
        <v>#REF!</v>
      </c>
      <c r="F200" s="76" t="s">
        <v>5</v>
      </c>
      <c r="G200" s="125" t="e">
        <f>SUMIF(#REF!,"묘국",#REF!)</f>
        <v>#REF!</v>
      </c>
      <c r="H200" s="88" t="e">
        <f>COUNTIF(#REF!,"묘공")</f>
        <v>#REF!</v>
      </c>
      <c r="I200" s="76" t="s">
        <v>5</v>
      </c>
      <c r="J200" s="125" t="e">
        <f>SUMIF(#REF!,"묘공",#REF!)</f>
        <v>#REF!</v>
      </c>
      <c r="K200" s="88" t="e">
        <f t="shared" si="12"/>
        <v>#REF!</v>
      </c>
      <c r="L200" s="76" t="s">
        <v>5</v>
      </c>
      <c r="M200" s="125" t="e">
        <f t="shared" si="13"/>
        <v>#REF!</v>
      </c>
      <c r="N200" s="77"/>
      <c r="O200" s="64"/>
      <c r="P200" s="64"/>
      <c r="Q200" s="64"/>
      <c r="R200" s="64"/>
      <c r="S200" s="64"/>
      <c r="T200" s="64"/>
      <c r="U200" s="64"/>
      <c r="V200" s="64"/>
    </row>
    <row r="201" spans="1:22" s="65" customFormat="1" ht="23.1" hidden="1" customHeight="1">
      <c r="A201" s="75" t="s">
        <v>20</v>
      </c>
      <c r="B201" s="88" t="e">
        <f>COUNTIF(#REF!,"수")</f>
        <v>#REF!</v>
      </c>
      <c r="C201" s="76" t="s">
        <v>5</v>
      </c>
      <c r="D201" s="125" t="e">
        <f>SUMIF(#REF!,"수",#REF!)</f>
        <v>#REF!</v>
      </c>
      <c r="E201" s="88" t="e">
        <f>COUNTIF(#REF!,"수국")</f>
        <v>#REF!</v>
      </c>
      <c r="F201" s="76" t="s">
        <v>5</v>
      </c>
      <c r="G201" s="125" t="e">
        <f>SUMIF(#REF!,"수국",#REF!)</f>
        <v>#REF!</v>
      </c>
      <c r="H201" s="88" t="e">
        <f>COUNTIF(#REF!,"수공")</f>
        <v>#REF!</v>
      </c>
      <c r="I201" s="76" t="s">
        <v>5</v>
      </c>
      <c r="J201" s="125" t="e">
        <f>SUMIF(#REF!,"수공",#REF!)</f>
        <v>#REF!</v>
      </c>
      <c r="K201" s="88" t="e">
        <f t="shared" si="12"/>
        <v>#REF!</v>
      </c>
      <c r="L201" s="76" t="s">
        <v>5</v>
      </c>
      <c r="M201" s="125" t="e">
        <f t="shared" si="13"/>
        <v>#REF!</v>
      </c>
      <c r="N201" s="77"/>
      <c r="O201" s="64"/>
      <c r="P201" s="64"/>
      <c r="Q201" s="64"/>
      <c r="R201" s="64"/>
      <c r="S201" s="64"/>
      <c r="T201" s="64"/>
      <c r="U201" s="64"/>
      <c r="V201" s="64"/>
    </row>
    <row r="202" spans="1:22" s="65" customFormat="1" ht="23.1" hidden="1" customHeight="1">
      <c r="A202" s="75" t="s">
        <v>19</v>
      </c>
      <c r="B202" s="88" t="e">
        <f>COUNTIF(#REF!,"잡")</f>
        <v>#REF!</v>
      </c>
      <c r="C202" s="76" t="s">
        <v>5</v>
      </c>
      <c r="D202" s="125" t="e">
        <f>SUMIF(#REF!,"잡",#REF!)</f>
        <v>#REF!</v>
      </c>
      <c r="E202" s="88" t="e">
        <f>COUNTIF(#REF!,"잡국")</f>
        <v>#REF!</v>
      </c>
      <c r="F202" s="76" t="s">
        <v>5</v>
      </c>
      <c r="G202" s="125" t="e">
        <f>SUMIF(#REF!,"잡국",#REF!)</f>
        <v>#REF!</v>
      </c>
      <c r="H202" s="88" t="e">
        <f>COUNTIF(#REF!,"잡공")</f>
        <v>#REF!</v>
      </c>
      <c r="I202" s="76" t="s">
        <v>5</v>
      </c>
      <c r="J202" s="125" t="e">
        <f>SUMIF(#REF!,"잡공",#REF!)</f>
        <v>#REF!</v>
      </c>
      <c r="K202" s="88" t="e">
        <f t="shared" si="12"/>
        <v>#REF!</v>
      </c>
      <c r="L202" s="76" t="s">
        <v>5</v>
      </c>
      <c r="M202" s="125" t="e">
        <f t="shared" si="13"/>
        <v>#REF!</v>
      </c>
      <c r="N202" s="77"/>
      <c r="O202" s="64"/>
      <c r="P202" s="64"/>
      <c r="Q202" s="64"/>
      <c r="R202" s="64"/>
      <c r="S202" s="64"/>
      <c r="T202" s="64"/>
      <c r="U202" s="64"/>
      <c r="V202" s="64"/>
    </row>
    <row r="203" spans="1:22" s="65" customFormat="1" ht="23.1" hidden="1" customHeight="1">
      <c r="A203" s="75" t="s">
        <v>42</v>
      </c>
      <c r="B203" s="88" t="e">
        <f>COUNTIF(#REF!,"종")</f>
        <v>#REF!</v>
      </c>
      <c r="C203" s="76" t="s">
        <v>5</v>
      </c>
      <c r="D203" s="125" t="e">
        <f>SUMIF(#REF!,"종",#REF!)</f>
        <v>#REF!</v>
      </c>
      <c r="E203" s="88" t="e">
        <f>COUNTIF(#REF!,"종국")</f>
        <v>#REF!</v>
      </c>
      <c r="F203" s="76" t="s">
        <v>5</v>
      </c>
      <c r="G203" s="125" t="e">
        <f>SUMIF(#REF!,"종국",#REF!)</f>
        <v>#REF!</v>
      </c>
      <c r="H203" s="88" t="e">
        <f>COUNTIF(#REF!,"종공")</f>
        <v>#REF!</v>
      </c>
      <c r="I203" s="76" t="s">
        <v>5</v>
      </c>
      <c r="J203" s="125" t="e">
        <f>SUMIF(#REF!,"종공",#REF!)</f>
        <v>#REF!</v>
      </c>
      <c r="K203" s="88" t="e">
        <f t="shared" si="12"/>
        <v>#REF!</v>
      </c>
      <c r="L203" s="76" t="s">
        <v>5</v>
      </c>
      <c r="M203" s="125" t="e">
        <f t="shared" si="13"/>
        <v>#REF!</v>
      </c>
      <c r="N203" s="77"/>
      <c r="O203" s="64"/>
      <c r="P203" s="64"/>
      <c r="Q203" s="64"/>
      <c r="R203" s="64"/>
      <c r="S203" s="64"/>
      <c r="T203" s="64"/>
      <c r="U203" s="64"/>
      <c r="V203" s="64"/>
    </row>
    <row r="204" spans="1:22" s="65" customFormat="1" ht="23.1" hidden="1" customHeight="1">
      <c r="A204" s="79" t="s">
        <v>43</v>
      </c>
      <c r="B204" s="88" t="e">
        <f>COUNTIF(#REF!,"염")</f>
        <v>#REF!</v>
      </c>
      <c r="C204" s="76" t="s">
        <v>5</v>
      </c>
      <c r="D204" s="125" t="e">
        <f>SUMIF(#REF!,"염",#REF!)</f>
        <v>#REF!</v>
      </c>
      <c r="E204" s="88" t="e">
        <f>COUNTIF(#REF!,"염국")</f>
        <v>#REF!</v>
      </c>
      <c r="F204" s="76" t="s">
        <v>5</v>
      </c>
      <c r="G204" s="125" t="e">
        <f>SUMIF(#REF!,"염국",#REF!)</f>
        <v>#REF!</v>
      </c>
      <c r="H204" s="88" t="e">
        <f>COUNTIF(#REF!,"염공")</f>
        <v>#REF!</v>
      </c>
      <c r="I204" s="76" t="s">
        <v>5</v>
      </c>
      <c r="J204" s="125" t="e">
        <f>SUMIF(#REF!,"염공",#REF!)</f>
        <v>#REF!</v>
      </c>
      <c r="K204" s="88" t="e">
        <f t="shared" si="12"/>
        <v>#REF!</v>
      </c>
      <c r="L204" s="76" t="s">
        <v>5</v>
      </c>
      <c r="M204" s="125" t="e">
        <f t="shared" si="13"/>
        <v>#REF!</v>
      </c>
      <c r="N204" s="77"/>
      <c r="O204" s="64"/>
      <c r="P204" s="64"/>
      <c r="Q204" s="64"/>
      <c r="R204" s="64"/>
      <c r="S204" s="64"/>
      <c r="T204" s="64"/>
      <c r="U204" s="64"/>
      <c r="V204" s="64"/>
    </row>
    <row r="205" spans="1:22" s="65" customFormat="1" ht="23.1" hidden="1" customHeight="1">
      <c r="A205" s="79" t="s">
        <v>44</v>
      </c>
      <c r="B205" s="88" t="e">
        <f>COUNTIF(#REF!,"공")</f>
        <v>#REF!</v>
      </c>
      <c r="C205" s="76" t="s">
        <v>5</v>
      </c>
      <c r="D205" s="125" t="e">
        <f>SUMIF(#REF!,"공",#REF!)</f>
        <v>#REF!</v>
      </c>
      <c r="E205" s="88" t="e">
        <f>COUNTIF(#REF!,"공국")</f>
        <v>#REF!</v>
      </c>
      <c r="F205" s="76" t="s">
        <v>5</v>
      </c>
      <c r="G205" s="125" t="e">
        <f>SUMIF(#REF!,"공국",#REF!)</f>
        <v>#REF!</v>
      </c>
      <c r="H205" s="88" t="e">
        <f>COUNTIF(#REF!,"공공")</f>
        <v>#REF!</v>
      </c>
      <c r="I205" s="76" t="s">
        <v>5</v>
      </c>
      <c r="J205" s="125" t="e">
        <f>SUMIF(#REF!,"공공",#REF!)</f>
        <v>#REF!</v>
      </c>
      <c r="K205" s="88" t="e">
        <f t="shared" si="12"/>
        <v>#REF!</v>
      </c>
      <c r="L205" s="76" t="s">
        <v>5</v>
      </c>
      <c r="M205" s="125" t="e">
        <f t="shared" si="13"/>
        <v>#REF!</v>
      </c>
      <c r="N205" s="77"/>
      <c r="O205" s="64"/>
      <c r="P205" s="64"/>
      <c r="Q205" s="64"/>
      <c r="R205" s="64"/>
      <c r="S205" s="64"/>
      <c r="T205" s="64"/>
      <c r="U205" s="64"/>
      <c r="V205" s="64"/>
    </row>
    <row r="206" spans="1:22" s="65" customFormat="1" ht="23.1" hidden="1" customHeight="1">
      <c r="A206" s="79" t="s">
        <v>45</v>
      </c>
      <c r="B206" s="88" t="e">
        <f>COUNTIF(#REF!,"체")</f>
        <v>#REF!</v>
      </c>
      <c r="C206" s="76" t="s">
        <v>5</v>
      </c>
      <c r="D206" s="125" t="e">
        <f>SUMIF(#REF!,"체",#REF!)</f>
        <v>#REF!</v>
      </c>
      <c r="E206" s="88" t="e">
        <f>COUNTIF(#REF!,"체국")</f>
        <v>#REF!</v>
      </c>
      <c r="F206" s="76" t="s">
        <v>5</v>
      </c>
      <c r="G206" s="125" t="e">
        <f>SUMIF(#REF!,"체국",#REF!)</f>
        <v>#REF!</v>
      </c>
      <c r="H206" s="88" t="e">
        <f>COUNTIF(#REF!,"체공")</f>
        <v>#REF!</v>
      </c>
      <c r="I206" s="76" t="s">
        <v>5</v>
      </c>
      <c r="J206" s="125" t="e">
        <f>SUMIF(#REF!,"체공",#REF!)</f>
        <v>#REF!</v>
      </c>
      <c r="K206" s="88" t="e">
        <f t="shared" si="12"/>
        <v>#REF!</v>
      </c>
      <c r="L206" s="76" t="s">
        <v>5</v>
      </c>
      <c r="M206" s="125" t="e">
        <f t="shared" si="13"/>
        <v>#REF!</v>
      </c>
      <c r="N206" s="77"/>
      <c r="O206" s="64"/>
      <c r="P206" s="64"/>
      <c r="Q206" s="64"/>
      <c r="R206" s="64"/>
      <c r="S206" s="64"/>
      <c r="T206" s="64"/>
      <c r="U206" s="64"/>
      <c r="V206" s="64"/>
    </row>
    <row r="207" spans="1:22" s="65" customFormat="1" ht="23.1" hidden="1" customHeight="1">
      <c r="A207" s="79" t="s">
        <v>46</v>
      </c>
      <c r="B207" s="88" t="e">
        <f>COUNTIF(#REF!,"원")</f>
        <v>#REF!</v>
      </c>
      <c r="C207" s="76" t="s">
        <v>5</v>
      </c>
      <c r="D207" s="125" t="e">
        <f>SUMIF(#REF!,"원",#REF!)</f>
        <v>#REF!</v>
      </c>
      <c r="E207" s="88" t="e">
        <f>COUNTIF(#REF!,"원국")</f>
        <v>#REF!</v>
      </c>
      <c r="F207" s="76" t="s">
        <v>5</v>
      </c>
      <c r="G207" s="125" t="e">
        <f>SUMIF(#REF!,"원국",#REF!)</f>
        <v>#REF!</v>
      </c>
      <c r="H207" s="88" t="e">
        <f>COUNTIF(#REF!,"원공")</f>
        <v>#REF!</v>
      </c>
      <c r="I207" s="76" t="s">
        <v>5</v>
      </c>
      <c r="J207" s="125" t="e">
        <f>SUMIF(#REF!,"원공",#REF!)</f>
        <v>#REF!</v>
      </c>
      <c r="K207" s="88" t="e">
        <f t="shared" si="12"/>
        <v>#REF!</v>
      </c>
      <c r="L207" s="76" t="s">
        <v>5</v>
      </c>
      <c r="M207" s="125" t="e">
        <f t="shared" si="13"/>
        <v>#REF!</v>
      </c>
      <c r="N207" s="77"/>
      <c r="O207" s="64"/>
      <c r="P207" s="64"/>
      <c r="Q207" s="64"/>
      <c r="R207" s="64"/>
      <c r="S207" s="64"/>
      <c r="T207" s="64"/>
      <c r="U207" s="64"/>
      <c r="V207" s="64"/>
    </row>
    <row r="208" spans="1:22" s="65" customFormat="1" ht="23.1" hidden="1" customHeight="1">
      <c r="A208" s="79" t="s">
        <v>56</v>
      </c>
      <c r="B208" s="88" t="e">
        <f>COUNTIF(#REF!,"주")</f>
        <v>#REF!</v>
      </c>
      <c r="C208" s="76" t="s">
        <v>5</v>
      </c>
      <c r="D208" s="125" t="e">
        <f>SUMIF(#REF!,"주",#REF!)</f>
        <v>#REF!</v>
      </c>
      <c r="E208" s="88" t="e">
        <f>COUNTIF(#REF!,"주국")</f>
        <v>#REF!</v>
      </c>
      <c r="F208" s="76" t="s">
        <v>5</v>
      </c>
      <c r="G208" s="125" t="e">
        <f>SUMIF(#REF!,"주국",#REF!)</f>
        <v>#REF!</v>
      </c>
      <c r="H208" s="88" t="e">
        <f>COUNTIF(#REF!,"주공")</f>
        <v>#REF!</v>
      </c>
      <c r="I208" s="76" t="s">
        <v>5</v>
      </c>
      <c r="J208" s="125" t="e">
        <f>SUMIF(#REF!,"주공",#REF!)</f>
        <v>#REF!</v>
      </c>
      <c r="K208" s="88" t="e">
        <f t="shared" si="12"/>
        <v>#REF!</v>
      </c>
      <c r="L208" s="76" t="s">
        <v>5</v>
      </c>
      <c r="M208" s="125" t="e">
        <f t="shared" si="13"/>
        <v>#REF!</v>
      </c>
      <c r="N208" s="77"/>
      <c r="O208" s="64"/>
      <c r="P208" s="64"/>
      <c r="Q208" s="64"/>
      <c r="R208" s="64"/>
      <c r="S208" s="64"/>
      <c r="T208" s="64"/>
      <c r="U208" s="64"/>
      <c r="V208" s="64"/>
    </row>
    <row r="209" spans="1:22" s="65" customFormat="1" ht="23.1" hidden="1" customHeight="1">
      <c r="A209" s="79" t="s">
        <v>57</v>
      </c>
      <c r="B209" s="88" t="e">
        <f>COUNTIF(#REF!,"창")</f>
        <v>#REF!</v>
      </c>
      <c r="C209" s="76" t="s">
        <v>5</v>
      </c>
      <c r="D209" s="125" t="e">
        <f>SUMIF(#REF!,"창",#REF!)</f>
        <v>#REF!</v>
      </c>
      <c r="E209" s="88" t="e">
        <f>COUNTIF(#REF!,"창국")</f>
        <v>#REF!</v>
      </c>
      <c r="F209" s="76" t="s">
        <v>5</v>
      </c>
      <c r="G209" s="125" t="e">
        <f>SUMIF(#REF!,"창국",#REF!)</f>
        <v>#REF!</v>
      </c>
      <c r="H209" s="88" t="e">
        <f>COUNTIF(#REF!,"창공")</f>
        <v>#REF!</v>
      </c>
      <c r="I209" s="76" t="s">
        <v>5</v>
      </c>
      <c r="J209" s="125" t="e">
        <f>SUMIF(#REF!,"창공",#REF!)</f>
        <v>#REF!</v>
      </c>
      <c r="K209" s="88" t="e">
        <f t="shared" si="12"/>
        <v>#REF!</v>
      </c>
      <c r="L209" s="76" t="s">
        <v>5</v>
      </c>
      <c r="M209" s="125" t="e">
        <f t="shared" si="13"/>
        <v>#REF!</v>
      </c>
      <c r="N209" s="77"/>
      <c r="O209" s="64"/>
      <c r="P209" s="64"/>
      <c r="Q209" s="64"/>
      <c r="R209" s="64"/>
      <c r="S209" s="64"/>
      <c r="T209" s="64"/>
      <c r="U209" s="64"/>
      <c r="V209" s="64"/>
    </row>
    <row r="210" spans="1:22" s="65" customFormat="1" ht="23.1" hidden="1" customHeight="1">
      <c r="A210" s="80" t="s">
        <v>24</v>
      </c>
      <c r="B210" s="89" t="e">
        <f>COUNTIF(#REF!," ")</f>
        <v>#REF!</v>
      </c>
      <c r="C210" s="81" t="s">
        <v>5</v>
      </c>
      <c r="D210" s="126" t="e">
        <f>SUMIF(#REF!," ",#REF!)</f>
        <v>#REF!</v>
      </c>
      <c r="E210" s="89" t="e">
        <f>COUNTIF(#REF!," 국")</f>
        <v>#REF!</v>
      </c>
      <c r="F210" s="81" t="s">
        <v>5</v>
      </c>
      <c r="G210" s="126" t="e">
        <f>SUMIF(#REF!," 국",#REF!)</f>
        <v>#REF!</v>
      </c>
      <c r="H210" s="89" t="e">
        <f>COUNTIF(#REF!," 공")</f>
        <v>#REF!</v>
      </c>
      <c r="I210" s="81" t="s">
        <v>5</v>
      </c>
      <c r="J210" s="126" t="e">
        <f>SUMIF(#REF!," 공",#REF!)</f>
        <v>#REF!</v>
      </c>
      <c r="K210" s="89" t="e">
        <f t="shared" si="12"/>
        <v>#REF!</v>
      </c>
      <c r="L210" s="81" t="s">
        <v>5</v>
      </c>
      <c r="M210" s="126" t="e">
        <f t="shared" si="13"/>
        <v>#REF!</v>
      </c>
      <c r="N210" s="82"/>
      <c r="O210" s="64"/>
      <c r="P210" s="64"/>
      <c r="Q210" s="64"/>
      <c r="R210" s="64"/>
      <c r="S210" s="64"/>
      <c r="T210" s="64"/>
      <c r="U210" s="64"/>
      <c r="V210" s="64"/>
    </row>
    <row r="211" spans="1:22" s="59" customFormat="1" ht="20.100000000000001" hidden="1" customHeight="1">
      <c r="A211" s="56" t="e">
        <f>IF(EXACT(O215,O216),,"검산확인요!!!")</f>
        <v>#REF!</v>
      </c>
      <c r="B211" s="57"/>
      <c r="C211" s="57"/>
      <c r="D211" s="95"/>
      <c r="E211" s="57"/>
      <c r="F211" s="57"/>
      <c r="G211" s="95"/>
      <c r="H211" s="57"/>
      <c r="I211" s="57"/>
      <c r="J211" s="95"/>
      <c r="K211" s="86" t="e">
        <f>IF(ISBLANK(#REF!),,#REF!)</f>
        <v>#REF!</v>
      </c>
      <c r="L211" s="58"/>
      <c r="M211" s="97"/>
      <c r="N211" s="53"/>
    </row>
    <row r="212" spans="1:22" s="59" customFormat="1" ht="9.9499999999999993" hidden="1" customHeight="1">
      <c r="A212" s="56"/>
      <c r="B212" s="57"/>
      <c r="C212" s="57"/>
      <c r="D212" s="95"/>
      <c r="E212" s="57"/>
      <c r="F212" s="57"/>
      <c r="G212" s="95"/>
      <c r="H212" s="57"/>
      <c r="I212" s="57"/>
      <c r="J212" s="95"/>
      <c r="K212" s="57"/>
      <c r="L212" s="57"/>
      <c r="M212" s="95"/>
      <c r="N212" s="57"/>
    </row>
    <row r="213" spans="1:22" s="65" customFormat="1" ht="27.95" hidden="1" customHeight="1">
      <c r="A213" s="60" t="s">
        <v>2</v>
      </c>
      <c r="B213" s="101" t="s">
        <v>3</v>
      </c>
      <c r="C213" s="102"/>
      <c r="D213" s="103"/>
      <c r="E213" s="101" t="s">
        <v>47</v>
      </c>
      <c r="F213" s="102"/>
      <c r="G213" s="103"/>
      <c r="H213" s="101" t="s">
        <v>58</v>
      </c>
      <c r="I213" s="102"/>
      <c r="J213" s="103"/>
      <c r="K213" s="101" t="s">
        <v>48</v>
      </c>
      <c r="L213" s="102"/>
      <c r="M213" s="103"/>
      <c r="N213" s="63" t="s">
        <v>22</v>
      </c>
      <c r="O213" s="64"/>
      <c r="S213" s="64"/>
      <c r="T213" s="64"/>
      <c r="U213" s="64"/>
      <c r="V213" s="64"/>
    </row>
    <row r="214" spans="1:22" s="65" customFormat="1" ht="27.95" hidden="1" customHeight="1">
      <c r="A214" s="66"/>
      <c r="B214" s="98" t="s">
        <v>4</v>
      </c>
      <c r="C214" s="99" t="s">
        <v>5</v>
      </c>
      <c r="D214" s="100" t="s">
        <v>49</v>
      </c>
      <c r="E214" s="98" t="s">
        <v>4</v>
      </c>
      <c r="F214" s="99" t="s">
        <v>5</v>
      </c>
      <c r="G214" s="100" t="s">
        <v>49</v>
      </c>
      <c r="H214" s="98" t="s">
        <v>4</v>
      </c>
      <c r="I214" s="99" t="s">
        <v>5</v>
      </c>
      <c r="J214" s="100" t="s">
        <v>49</v>
      </c>
      <c r="K214" s="98" t="s">
        <v>4</v>
      </c>
      <c r="L214" s="99" t="s">
        <v>5</v>
      </c>
      <c r="M214" s="100" t="s">
        <v>49</v>
      </c>
      <c r="N214" s="69"/>
      <c r="P214" s="64"/>
      <c r="Q214" s="70" t="s">
        <v>50</v>
      </c>
      <c r="R214" s="70" t="s">
        <v>51</v>
      </c>
      <c r="S214" s="70" t="s">
        <v>52</v>
      </c>
      <c r="T214" s="70" t="s">
        <v>53</v>
      </c>
      <c r="U214" s="64"/>
      <c r="V214" s="64"/>
    </row>
    <row r="215" spans="1:22" s="65" customFormat="1" ht="23.1" hidden="1" customHeight="1">
      <c r="A215" s="71" t="s">
        <v>3</v>
      </c>
      <c r="B215" s="87" t="e">
        <f>SUM(B216:B240)</f>
        <v>#REF!</v>
      </c>
      <c r="C215" s="72" t="s">
        <v>5</v>
      </c>
      <c r="D215" s="124" t="e">
        <f>SUM(D216:D240)</f>
        <v>#REF!</v>
      </c>
      <c r="E215" s="87" t="e">
        <f>SUM(E216:E240)</f>
        <v>#REF!</v>
      </c>
      <c r="F215" s="72" t="s">
        <v>5</v>
      </c>
      <c r="G215" s="124" t="e">
        <f>SUM(G216:G240)</f>
        <v>#REF!</v>
      </c>
      <c r="H215" s="87" t="e">
        <f>SUM(H216:H240)</f>
        <v>#REF!</v>
      </c>
      <c r="I215" s="72" t="s">
        <v>5</v>
      </c>
      <c r="J215" s="124" t="e">
        <f>SUM(J216:J240)</f>
        <v>#REF!</v>
      </c>
      <c r="K215" s="87" t="e">
        <f>SUM(K216:K240)</f>
        <v>#REF!</v>
      </c>
      <c r="L215" s="72" t="s">
        <v>5</v>
      </c>
      <c r="M215" s="124" t="e">
        <f>SUM(M216:M240)</f>
        <v>#REF!</v>
      </c>
      <c r="N215" s="73"/>
      <c r="O215" s="64" t="e">
        <f>IF(EXACT(Q215,T215),"맞음","틀림")</f>
        <v>#REF!</v>
      </c>
      <c r="P215" s="64" t="s">
        <v>4</v>
      </c>
      <c r="Q215" s="74" t="e">
        <f>SUM(B216:B240)</f>
        <v>#REF!</v>
      </c>
      <c r="R215" s="74" t="e">
        <f>SUM(H216:H240)</f>
        <v>#REF!</v>
      </c>
      <c r="S215" s="74" t="e">
        <f>SUM(K216:K240)</f>
        <v>#REF!</v>
      </c>
      <c r="T215" s="74" t="e">
        <f>K215+H215</f>
        <v>#REF!</v>
      </c>
      <c r="U215" s="64"/>
      <c r="V215" s="64"/>
    </row>
    <row r="216" spans="1:22" s="65" customFormat="1" ht="23.1" hidden="1" customHeight="1">
      <c r="A216" s="75" t="s">
        <v>7</v>
      </c>
      <c r="B216" s="88" t="e">
        <f>COUNTIF(#REF!,"전")</f>
        <v>#REF!</v>
      </c>
      <c r="C216" s="76" t="s">
        <v>5</v>
      </c>
      <c r="D216" s="125" t="e">
        <f>SUMIF(#REF!,"전",#REF!)</f>
        <v>#REF!</v>
      </c>
      <c r="E216" s="88" t="e">
        <f>COUNTIF(#REF!,"전국")</f>
        <v>#REF!</v>
      </c>
      <c r="F216" s="76" t="s">
        <v>5</v>
      </c>
      <c r="G216" s="125" t="e">
        <f>SUMIF(#REF!,"전국",#REF!)</f>
        <v>#REF!</v>
      </c>
      <c r="H216" s="88" t="e">
        <f>COUNTIF(#REF!,"전공")</f>
        <v>#REF!</v>
      </c>
      <c r="I216" s="76" t="s">
        <v>5</v>
      </c>
      <c r="J216" s="125" t="e">
        <f>SUMIF(#REF!,"전공",#REF!)</f>
        <v>#REF!</v>
      </c>
      <c r="K216" s="88" t="e">
        <f t="shared" ref="K216:K240" si="14">B216-H216</f>
        <v>#REF!</v>
      </c>
      <c r="L216" s="76" t="s">
        <v>5</v>
      </c>
      <c r="M216" s="125" t="e">
        <f t="shared" ref="M216:M240" si="15">D216-J216</f>
        <v>#REF!</v>
      </c>
      <c r="N216" s="77"/>
      <c r="O216" s="64" t="e">
        <f>IF(EXACT(Q216,T216),"맞음","틀림")</f>
        <v>#REF!</v>
      </c>
      <c r="P216" s="64" t="s">
        <v>54</v>
      </c>
      <c r="Q216" s="74" t="e">
        <f>SUM(D216:D240)</f>
        <v>#REF!</v>
      </c>
      <c r="R216" s="74" t="e">
        <f>SUM(J216:J240)</f>
        <v>#REF!</v>
      </c>
      <c r="S216" s="74" t="e">
        <f>SUM(M216:M240)</f>
        <v>#REF!</v>
      </c>
      <c r="T216" s="74" t="e">
        <f>J215+M215</f>
        <v>#REF!</v>
      </c>
      <c r="U216" s="64"/>
      <c r="V216" s="64"/>
    </row>
    <row r="217" spans="1:22" s="65" customFormat="1" ht="23.1" hidden="1" customHeight="1">
      <c r="A217" s="75" t="s">
        <v>8</v>
      </c>
      <c r="B217" s="88" t="e">
        <f>COUNTIF(#REF!,"답")</f>
        <v>#REF!</v>
      </c>
      <c r="C217" s="76" t="s">
        <v>5</v>
      </c>
      <c r="D217" s="125" t="e">
        <f>SUMIF(#REF!,"답",#REF!)</f>
        <v>#REF!</v>
      </c>
      <c r="E217" s="88" t="e">
        <f>COUNTIF(#REF!,"답국")</f>
        <v>#REF!</v>
      </c>
      <c r="F217" s="76" t="s">
        <v>5</v>
      </c>
      <c r="G217" s="125" t="e">
        <f>SUMIF(#REF!,"답국",#REF!)</f>
        <v>#REF!</v>
      </c>
      <c r="H217" s="88" t="e">
        <f>COUNTIF(#REF!,"답공")</f>
        <v>#REF!</v>
      </c>
      <c r="I217" s="76" t="s">
        <v>5</v>
      </c>
      <c r="J217" s="125" t="e">
        <f>SUMIF(#REF!,"답공",#REF!)</f>
        <v>#REF!</v>
      </c>
      <c r="K217" s="88" t="e">
        <f t="shared" si="14"/>
        <v>#REF!</v>
      </c>
      <c r="L217" s="76" t="s">
        <v>5</v>
      </c>
      <c r="M217" s="125" t="e">
        <f t="shared" si="15"/>
        <v>#REF!</v>
      </c>
      <c r="N217" s="77"/>
      <c r="Q217" s="64"/>
      <c r="S217" s="64"/>
      <c r="U217" s="64"/>
      <c r="V217" s="64"/>
    </row>
    <row r="218" spans="1:22" s="65" customFormat="1" ht="23.1" hidden="1" customHeight="1">
      <c r="A218" s="78" t="s">
        <v>9</v>
      </c>
      <c r="B218" s="88" t="e">
        <f>COUNTIF(#REF!,"임")</f>
        <v>#REF!</v>
      </c>
      <c r="C218" s="76" t="s">
        <v>5</v>
      </c>
      <c r="D218" s="125" t="e">
        <f>SUMIF(#REF!,"임",#REF!)</f>
        <v>#REF!</v>
      </c>
      <c r="E218" s="88" t="e">
        <f>COUNTIF(#REF!,"임국")</f>
        <v>#REF!</v>
      </c>
      <c r="F218" s="76" t="s">
        <v>5</v>
      </c>
      <c r="G218" s="125" t="e">
        <f>SUMIF(#REF!,"임국",#REF!)</f>
        <v>#REF!</v>
      </c>
      <c r="H218" s="88" t="e">
        <f>COUNTIF(#REF!,"임공")</f>
        <v>#REF!</v>
      </c>
      <c r="I218" s="76" t="s">
        <v>5</v>
      </c>
      <c r="J218" s="125" t="e">
        <f>SUMIF(#REF!,"임공",#REF!)</f>
        <v>#REF!</v>
      </c>
      <c r="K218" s="88" t="e">
        <f t="shared" si="14"/>
        <v>#REF!</v>
      </c>
      <c r="L218" s="76" t="s">
        <v>5</v>
      </c>
      <c r="M218" s="125" t="e">
        <f t="shared" si="15"/>
        <v>#REF!</v>
      </c>
      <c r="N218" s="77"/>
      <c r="Q218" s="64"/>
      <c r="S218" s="64"/>
      <c r="U218" s="64"/>
      <c r="V218" s="64"/>
    </row>
    <row r="219" spans="1:22" s="65" customFormat="1" ht="23.1" hidden="1" customHeight="1">
      <c r="A219" s="75" t="s">
        <v>10</v>
      </c>
      <c r="B219" s="88" t="e">
        <f>COUNTIF(#REF!,"대")</f>
        <v>#REF!</v>
      </c>
      <c r="C219" s="76" t="s">
        <v>5</v>
      </c>
      <c r="D219" s="125" t="e">
        <f>SUMIF(#REF!,"대",#REF!)</f>
        <v>#REF!</v>
      </c>
      <c r="E219" s="88" t="e">
        <f>COUNTIF(#REF!,"대국")</f>
        <v>#REF!</v>
      </c>
      <c r="F219" s="76" t="s">
        <v>5</v>
      </c>
      <c r="G219" s="125" t="e">
        <f>SUMIF(#REF!,"대국",#REF!)</f>
        <v>#REF!</v>
      </c>
      <c r="H219" s="88" t="e">
        <f>COUNTIF(#REF!,"대공")</f>
        <v>#REF!</v>
      </c>
      <c r="I219" s="76" t="s">
        <v>5</v>
      </c>
      <c r="J219" s="125" t="e">
        <f>SUMIF(#REF!,"대공",#REF!)</f>
        <v>#REF!</v>
      </c>
      <c r="K219" s="88" t="e">
        <f t="shared" si="14"/>
        <v>#REF!</v>
      </c>
      <c r="L219" s="76" t="s">
        <v>5</v>
      </c>
      <c r="M219" s="125" t="e">
        <f t="shared" si="15"/>
        <v>#REF!</v>
      </c>
      <c r="N219" s="77"/>
      <c r="O219" s="64"/>
      <c r="P219" s="64"/>
      <c r="Q219" s="64"/>
      <c r="R219" s="64"/>
      <c r="S219" s="64"/>
      <c r="T219" s="64"/>
      <c r="U219" s="64"/>
      <c r="V219" s="64"/>
    </row>
    <row r="220" spans="1:22" s="65" customFormat="1" ht="23.1" hidden="1" customHeight="1">
      <c r="A220" s="75" t="s">
        <v>11</v>
      </c>
      <c r="B220" s="88" t="e">
        <f>COUNTIF(#REF!,"도")</f>
        <v>#REF!</v>
      </c>
      <c r="C220" s="76" t="s">
        <v>5</v>
      </c>
      <c r="D220" s="125" t="e">
        <f>SUMIF(#REF!,"도",#REF!)</f>
        <v>#REF!</v>
      </c>
      <c r="E220" s="88" t="e">
        <f>COUNTIF(#REF!,"도국")</f>
        <v>#REF!</v>
      </c>
      <c r="F220" s="76" t="s">
        <v>5</v>
      </c>
      <c r="G220" s="125" t="e">
        <f>SUMIF(#REF!,"도국",#REF!)</f>
        <v>#REF!</v>
      </c>
      <c r="H220" s="88" t="e">
        <f>COUNTIF(#REF!,"도공")</f>
        <v>#REF!</v>
      </c>
      <c r="I220" s="76" t="s">
        <v>5</v>
      </c>
      <c r="J220" s="125" t="e">
        <f>SUMIF(#REF!,"도공",#REF!)</f>
        <v>#REF!</v>
      </c>
      <c r="K220" s="88" t="e">
        <f t="shared" si="14"/>
        <v>#REF!</v>
      </c>
      <c r="L220" s="76" t="s">
        <v>5</v>
      </c>
      <c r="M220" s="125" t="e">
        <f t="shared" si="15"/>
        <v>#REF!</v>
      </c>
      <c r="N220" s="77"/>
      <c r="O220" s="64"/>
      <c r="P220" s="64"/>
      <c r="Q220" s="64"/>
      <c r="R220" s="64"/>
      <c r="S220" s="64"/>
      <c r="T220" s="64"/>
      <c r="U220" s="64"/>
      <c r="V220" s="64"/>
    </row>
    <row r="221" spans="1:22" s="65" customFormat="1" ht="23.1" hidden="1" customHeight="1">
      <c r="A221" s="75" t="s">
        <v>13</v>
      </c>
      <c r="B221" s="88" t="e">
        <f>COUNTIF(#REF!,"구")</f>
        <v>#REF!</v>
      </c>
      <c r="C221" s="76" t="s">
        <v>5</v>
      </c>
      <c r="D221" s="125" t="e">
        <f>SUMIF(#REF!,"구",#REF!)</f>
        <v>#REF!</v>
      </c>
      <c r="E221" s="88" t="e">
        <f>COUNTIF(#REF!,"구국")</f>
        <v>#REF!</v>
      </c>
      <c r="F221" s="76" t="s">
        <v>5</v>
      </c>
      <c r="G221" s="125" t="e">
        <f>SUMIF(#REF!,"구국",#REF!)</f>
        <v>#REF!</v>
      </c>
      <c r="H221" s="88" t="e">
        <f>COUNTIF(#REF!,"구공")</f>
        <v>#REF!</v>
      </c>
      <c r="I221" s="76" t="s">
        <v>5</v>
      </c>
      <c r="J221" s="125" t="e">
        <f>SUMIF(#REF!,"구공",#REF!)</f>
        <v>#REF!</v>
      </c>
      <c r="K221" s="88" t="e">
        <f t="shared" si="14"/>
        <v>#REF!</v>
      </c>
      <c r="L221" s="76" t="s">
        <v>5</v>
      </c>
      <c r="M221" s="125" t="e">
        <f t="shared" si="15"/>
        <v>#REF!</v>
      </c>
      <c r="N221" s="77"/>
      <c r="O221" s="64"/>
      <c r="P221" s="64"/>
      <c r="Q221" s="64"/>
      <c r="R221" s="64"/>
      <c r="S221" s="64"/>
      <c r="T221" s="64"/>
      <c r="U221" s="64"/>
      <c r="V221" s="64"/>
    </row>
    <row r="222" spans="1:22" s="65" customFormat="1" ht="23.1" hidden="1" customHeight="1">
      <c r="A222" s="75" t="s">
        <v>12</v>
      </c>
      <c r="B222" s="88" t="e">
        <f>COUNTIF(#REF!,"천")</f>
        <v>#REF!</v>
      </c>
      <c r="C222" s="76" t="s">
        <v>5</v>
      </c>
      <c r="D222" s="125" t="e">
        <f>SUMIF(#REF!,"천",#REF!)</f>
        <v>#REF!</v>
      </c>
      <c r="E222" s="88" t="e">
        <f>COUNTIF(#REF!,"천국")</f>
        <v>#REF!</v>
      </c>
      <c r="F222" s="76" t="s">
        <v>5</v>
      </c>
      <c r="G222" s="125" t="e">
        <f>SUMIF(#REF!,"천국",#REF!)</f>
        <v>#REF!</v>
      </c>
      <c r="H222" s="88" t="e">
        <f>COUNTIF(#REF!,"천공")</f>
        <v>#REF!</v>
      </c>
      <c r="I222" s="76" t="s">
        <v>5</v>
      </c>
      <c r="J222" s="125" t="e">
        <f>SUMIF(#REF!,"천공",#REF!)</f>
        <v>#REF!</v>
      </c>
      <c r="K222" s="88" t="e">
        <f t="shared" si="14"/>
        <v>#REF!</v>
      </c>
      <c r="L222" s="76" t="s">
        <v>5</v>
      </c>
      <c r="M222" s="125" t="e">
        <f t="shared" si="15"/>
        <v>#REF!</v>
      </c>
      <c r="N222" s="77"/>
      <c r="O222" s="64"/>
      <c r="P222" s="64"/>
      <c r="Q222" s="64"/>
      <c r="R222" s="64"/>
      <c r="S222" s="64"/>
      <c r="T222" s="64"/>
      <c r="U222" s="64"/>
      <c r="V222" s="64"/>
    </row>
    <row r="223" spans="1:22" s="65" customFormat="1" ht="23.1" hidden="1" customHeight="1">
      <c r="A223" s="75" t="s">
        <v>15</v>
      </c>
      <c r="B223" s="88" t="e">
        <f>COUNTIF(#REF!,"유")</f>
        <v>#REF!</v>
      </c>
      <c r="C223" s="76" t="s">
        <v>5</v>
      </c>
      <c r="D223" s="125" t="e">
        <f>SUMIF(#REF!,"유",#REF!)</f>
        <v>#REF!</v>
      </c>
      <c r="E223" s="88" t="e">
        <f>COUNTIF(#REF!,"유국")</f>
        <v>#REF!</v>
      </c>
      <c r="F223" s="76" t="s">
        <v>5</v>
      </c>
      <c r="G223" s="125" t="e">
        <f>SUMIF(#REF!,"유국",#REF!)</f>
        <v>#REF!</v>
      </c>
      <c r="H223" s="88" t="e">
        <f>COUNTIF(#REF!,"유공")</f>
        <v>#REF!</v>
      </c>
      <c r="I223" s="76" t="s">
        <v>5</v>
      </c>
      <c r="J223" s="125" t="e">
        <f>SUMIF(#REF!,"유공",#REF!)</f>
        <v>#REF!</v>
      </c>
      <c r="K223" s="88" t="e">
        <f t="shared" si="14"/>
        <v>#REF!</v>
      </c>
      <c r="L223" s="76" t="s">
        <v>5</v>
      </c>
      <c r="M223" s="125" t="e">
        <f t="shared" si="15"/>
        <v>#REF!</v>
      </c>
      <c r="N223" s="77"/>
      <c r="O223" s="64"/>
      <c r="P223" s="64"/>
      <c r="Q223" s="64"/>
      <c r="R223" s="64"/>
      <c r="S223" s="64"/>
      <c r="T223" s="64"/>
      <c r="U223" s="64"/>
      <c r="V223" s="64"/>
    </row>
    <row r="224" spans="1:22" s="65" customFormat="1" ht="23.1" hidden="1" customHeight="1">
      <c r="A224" s="75" t="s">
        <v>14</v>
      </c>
      <c r="B224" s="88" t="e">
        <f>COUNTIF(#REF!,"제")</f>
        <v>#REF!</v>
      </c>
      <c r="C224" s="76" t="s">
        <v>5</v>
      </c>
      <c r="D224" s="125" t="e">
        <f>SUMIF(#REF!,"제",#REF!)</f>
        <v>#REF!</v>
      </c>
      <c r="E224" s="88" t="e">
        <f>COUNTIF(#REF!,"제국")</f>
        <v>#REF!</v>
      </c>
      <c r="F224" s="76" t="s">
        <v>5</v>
      </c>
      <c r="G224" s="125" t="e">
        <f>SUMIF(#REF!,"제국",#REF!)</f>
        <v>#REF!</v>
      </c>
      <c r="H224" s="88" t="e">
        <f>COUNTIF(#REF!,"제공")</f>
        <v>#REF!</v>
      </c>
      <c r="I224" s="76" t="s">
        <v>5</v>
      </c>
      <c r="J224" s="125" t="e">
        <f>SUMIF(#REF!,"제공",#REF!)</f>
        <v>#REF!</v>
      </c>
      <c r="K224" s="88" t="e">
        <f t="shared" si="14"/>
        <v>#REF!</v>
      </c>
      <c r="L224" s="76" t="s">
        <v>5</v>
      </c>
      <c r="M224" s="125" t="e">
        <f t="shared" si="15"/>
        <v>#REF!</v>
      </c>
      <c r="N224" s="77"/>
      <c r="O224" s="64"/>
      <c r="P224" s="64"/>
      <c r="Q224" s="64"/>
      <c r="R224" s="64"/>
      <c r="S224" s="64"/>
      <c r="T224" s="64"/>
      <c r="U224" s="64"/>
      <c r="V224" s="64"/>
    </row>
    <row r="225" spans="1:22" s="65" customFormat="1" ht="23.1" hidden="1" customHeight="1">
      <c r="A225" s="75" t="s">
        <v>16</v>
      </c>
      <c r="B225" s="88" t="e">
        <f>COUNTIF(#REF!,"과")</f>
        <v>#REF!</v>
      </c>
      <c r="C225" s="76" t="s">
        <v>5</v>
      </c>
      <c r="D225" s="125" t="e">
        <f>SUMIF(#REF!,"과",#REF!)</f>
        <v>#REF!</v>
      </c>
      <c r="E225" s="88" t="e">
        <f>COUNTIF(#REF!,"과국")</f>
        <v>#REF!</v>
      </c>
      <c r="F225" s="76" t="s">
        <v>5</v>
      </c>
      <c r="G225" s="125" t="e">
        <f>SUMIF(#REF!,"과국",#REF!)</f>
        <v>#REF!</v>
      </c>
      <c r="H225" s="88" t="e">
        <f>COUNTIF(#REF!,"과공")</f>
        <v>#REF!</v>
      </c>
      <c r="I225" s="76" t="s">
        <v>5</v>
      </c>
      <c r="J225" s="125" t="e">
        <f>SUMIF(#REF!,"과공",#REF!)</f>
        <v>#REF!</v>
      </c>
      <c r="K225" s="88" t="e">
        <f t="shared" si="14"/>
        <v>#REF!</v>
      </c>
      <c r="L225" s="76" t="s">
        <v>5</v>
      </c>
      <c r="M225" s="125" t="e">
        <f t="shared" si="15"/>
        <v>#REF!</v>
      </c>
      <c r="N225" s="77"/>
      <c r="O225" s="64"/>
      <c r="P225" s="64"/>
      <c r="Q225" s="64"/>
      <c r="R225" s="64"/>
      <c r="S225" s="64"/>
      <c r="T225" s="64"/>
      <c r="U225" s="64"/>
      <c r="V225" s="64"/>
    </row>
    <row r="226" spans="1:22" s="65" customFormat="1" ht="23.1" hidden="1" customHeight="1">
      <c r="A226" s="75" t="s">
        <v>21</v>
      </c>
      <c r="B226" s="88" t="e">
        <f>COUNTIF(#REF!,"장")</f>
        <v>#REF!</v>
      </c>
      <c r="C226" s="76" t="s">
        <v>5</v>
      </c>
      <c r="D226" s="125" t="e">
        <f>SUMIF(#REF!,"장",#REF!)</f>
        <v>#REF!</v>
      </c>
      <c r="E226" s="88" t="e">
        <f>COUNTIF(#REF!,"장국")</f>
        <v>#REF!</v>
      </c>
      <c r="F226" s="76" t="s">
        <v>5</v>
      </c>
      <c r="G226" s="125" t="e">
        <f>SUMIF(#REF!,"장국",#REF!)</f>
        <v>#REF!</v>
      </c>
      <c r="H226" s="88" t="e">
        <f>COUNTIF(#REF!,"장공")</f>
        <v>#REF!</v>
      </c>
      <c r="I226" s="76" t="s">
        <v>5</v>
      </c>
      <c r="J226" s="125" t="e">
        <f>SUMIF(#REF!,"장공",#REF!)</f>
        <v>#REF!</v>
      </c>
      <c r="K226" s="88" t="e">
        <f t="shared" si="14"/>
        <v>#REF!</v>
      </c>
      <c r="L226" s="76" t="s">
        <v>5</v>
      </c>
      <c r="M226" s="125" t="e">
        <f t="shared" si="15"/>
        <v>#REF!</v>
      </c>
      <c r="N226" s="77"/>
      <c r="O226" s="64"/>
      <c r="P226" s="64"/>
      <c r="Q226" s="64"/>
      <c r="R226" s="64"/>
      <c r="S226" s="64"/>
      <c r="T226" s="64"/>
      <c r="U226" s="64"/>
      <c r="V226" s="64"/>
    </row>
    <row r="227" spans="1:22" s="65" customFormat="1" ht="23.1" hidden="1" customHeight="1">
      <c r="A227" s="75" t="s">
        <v>18</v>
      </c>
      <c r="B227" s="88" t="e">
        <f>COUNTIF(#REF!,"목")</f>
        <v>#REF!</v>
      </c>
      <c r="C227" s="76" t="s">
        <v>5</v>
      </c>
      <c r="D227" s="125" t="e">
        <f>SUMIF(#REF!,"목",#REF!)</f>
        <v>#REF!</v>
      </c>
      <c r="E227" s="88" t="e">
        <f>COUNTIF(#REF!,"목국")</f>
        <v>#REF!</v>
      </c>
      <c r="F227" s="76" t="s">
        <v>5</v>
      </c>
      <c r="G227" s="125" t="e">
        <f>SUMIF(#REF!,"목국",#REF!)</f>
        <v>#REF!</v>
      </c>
      <c r="H227" s="88" t="e">
        <f>COUNTIF(#REF!,"목공")</f>
        <v>#REF!</v>
      </c>
      <c r="I227" s="76" t="s">
        <v>5</v>
      </c>
      <c r="J227" s="125" t="e">
        <f>SUMIF(#REF!,"목공",#REF!)</f>
        <v>#REF!</v>
      </c>
      <c r="K227" s="88" t="e">
        <f t="shared" si="14"/>
        <v>#REF!</v>
      </c>
      <c r="L227" s="76" t="s">
        <v>5</v>
      </c>
      <c r="M227" s="125" t="e">
        <f t="shared" si="15"/>
        <v>#REF!</v>
      </c>
      <c r="N227" s="77"/>
      <c r="O227" s="64"/>
      <c r="P227" s="64"/>
      <c r="Q227" s="64"/>
      <c r="R227" s="64"/>
      <c r="S227" s="64"/>
      <c r="T227" s="64"/>
      <c r="U227" s="64"/>
      <c r="V227" s="64"/>
    </row>
    <row r="228" spans="1:22" s="65" customFormat="1" ht="23.1" hidden="1" customHeight="1">
      <c r="A228" s="75" t="s">
        <v>23</v>
      </c>
      <c r="B228" s="88" t="e">
        <f>COUNTIF(#REF!,"학")</f>
        <v>#REF!</v>
      </c>
      <c r="C228" s="76" t="s">
        <v>5</v>
      </c>
      <c r="D228" s="125" t="e">
        <f>SUMIF(#REF!,"학",#REF!)</f>
        <v>#REF!</v>
      </c>
      <c r="E228" s="88" t="e">
        <f>COUNTIF(#REF!,"학국")</f>
        <v>#REF!</v>
      </c>
      <c r="F228" s="76" t="s">
        <v>5</v>
      </c>
      <c r="G228" s="125" t="e">
        <f>SUMIF(#REF!,"학국",#REF!)</f>
        <v>#REF!</v>
      </c>
      <c r="H228" s="88" t="e">
        <f>COUNTIF(#REF!,"학공")</f>
        <v>#REF!</v>
      </c>
      <c r="I228" s="76" t="s">
        <v>5</v>
      </c>
      <c r="J228" s="125" t="e">
        <f>SUMIF(#REF!,"학공",#REF!)</f>
        <v>#REF!</v>
      </c>
      <c r="K228" s="88" t="e">
        <f t="shared" si="14"/>
        <v>#REF!</v>
      </c>
      <c r="L228" s="76" t="s">
        <v>5</v>
      </c>
      <c r="M228" s="125" t="e">
        <f t="shared" si="15"/>
        <v>#REF!</v>
      </c>
      <c r="N228" s="77"/>
      <c r="O228" s="64"/>
      <c r="P228" s="64"/>
      <c r="Q228" s="64"/>
      <c r="R228" s="64"/>
      <c r="S228" s="64"/>
      <c r="T228" s="64"/>
      <c r="U228" s="64"/>
      <c r="V228" s="64"/>
    </row>
    <row r="229" spans="1:22" s="65" customFormat="1" ht="23.1" hidden="1" customHeight="1">
      <c r="A229" s="75" t="s">
        <v>41</v>
      </c>
      <c r="B229" s="88" t="e">
        <f>COUNTIF(#REF!,"철")</f>
        <v>#REF!</v>
      </c>
      <c r="C229" s="76" t="s">
        <v>5</v>
      </c>
      <c r="D229" s="125" t="e">
        <f>SUMIF(#REF!,"철",#REF!)</f>
        <v>#REF!</v>
      </c>
      <c r="E229" s="88" t="e">
        <f>COUNTIF(#REF!,"철국")</f>
        <v>#REF!</v>
      </c>
      <c r="F229" s="76" t="s">
        <v>5</v>
      </c>
      <c r="G229" s="125" t="e">
        <f>SUMIF(#REF!,"철국",#REF!)</f>
        <v>#REF!</v>
      </c>
      <c r="H229" s="88" t="e">
        <f>COUNTIF(#REF!,"철공")</f>
        <v>#REF!</v>
      </c>
      <c r="I229" s="76" t="s">
        <v>5</v>
      </c>
      <c r="J229" s="125" t="e">
        <f>SUMIF(#REF!,"철공",#REF!)</f>
        <v>#REF!</v>
      </c>
      <c r="K229" s="88" t="e">
        <f t="shared" si="14"/>
        <v>#REF!</v>
      </c>
      <c r="L229" s="76" t="s">
        <v>5</v>
      </c>
      <c r="M229" s="125" t="e">
        <f t="shared" si="15"/>
        <v>#REF!</v>
      </c>
      <c r="N229" s="77"/>
      <c r="O229" s="64"/>
      <c r="P229" s="64"/>
      <c r="Q229" s="64"/>
      <c r="R229" s="64"/>
      <c r="S229" s="64"/>
      <c r="T229" s="64"/>
      <c r="U229" s="64"/>
      <c r="V229" s="64"/>
    </row>
    <row r="230" spans="1:22" s="65" customFormat="1" ht="23.1" hidden="1" customHeight="1">
      <c r="A230" s="75" t="s">
        <v>17</v>
      </c>
      <c r="B230" s="88" t="e">
        <f>COUNTIF(#REF!,"묘")</f>
        <v>#REF!</v>
      </c>
      <c r="C230" s="76" t="s">
        <v>5</v>
      </c>
      <c r="D230" s="125" t="e">
        <f>SUMIF(#REF!,"묘",#REF!)</f>
        <v>#REF!</v>
      </c>
      <c r="E230" s="88" t="e">
        <f>COUNTIF(#REF!,"묘국")</f>
        <v>#REF!</v>
      </c>
      <c r="F230" s="76" t="s">
        <v>5</v>
      </c>
      <c r="G230" s="125" t="e">
        <f>SUMIF(#REF!,"묘국",#REF!)</f>
        <v>#REF!</v>
      </c>
      <c r="H230" s="88" t="e">
        <f>COUNTIF(#REF!,"묘공")</f>
        <v>#REF!</v>
      </c>
      <c r="I230" s="76" t="s">
        <v>5</v>
      </c>
      <c r="J230" s="125" t="e">
        <f>SUMIF(#REF!,"묘공",#REF!)</f>
        <v>#REF!</v>
      </c>
      <c r="K230" s="88" t="e">
        <f t="shared" si="14"/>
        <v>#REF!</v>
      </c>
      <c r="L230" s="76" t="s">
        <v>5</v>
      </c>
      <c r="M230" s="125" t="e">
        <f t="shared" si="15"/>
        <v>#REF!</v>
      </c>
      <c r="N230" s="77"/>
      <c r="O230" s="64"/>
      <c r="P230" s="64"/>
      <c r="Q230" s="64"/>
      <c r="R230" s="64"/>
      <c r="S230" s="64"/>
      <c r="T230" s="64"/>
      <c r="U230" s="64"/>
      <c r="V230" s="64"/>
    </row>
    <row r="231" spans="1:22" s="65" customFormat="1" ht="23.1" hidden="1" customHeight="1">
      <c r="A231" s="75" t="s">
        <v>20</v>
      </c>
      <c r="B231" s="88" t="e">
        <f>COUNTIF(#REF!,"수")</f>
        <v>#REF!</v>
      </c>
      <c r="C231" s="76" t="s">
        <v>5</v>
      </c>
      <c r="D231" s="125" t="e">
        <f>SUMIF(#REF!,"수",#REF!)</f>
        <v>#REF!</v>
      </c>
      <c r="E231" s="88" t="e">
        <f>COUNTIF(#REF!,"수국")</f>
        <v>#REF!</v>
      </c>
      <c r="F231" s="76" t="s">
        <v>5</v>
      </c>
      <c r="G231" s="125" t="e">
        <f>SUMIF(#REF!,"수국",#REF!)</f>
        <v>#REF!</v>
      </c>
      <c r="H231" s="88" t="e">
        <f>COUNTIF(#REF!,"수공")</f>
        <v>#REF!</v>
      </c>
      <c r="I231" s="76" t="s">
        <v>5</v>
      </c>
      <c r="J231" s="125" t="e">
        <f>SUMIF(#REF!,"수공",#REF!)</f>
        <v>#REF!</v>
      </c>
      <c r="K231" s="88" t="e">
        <f t="shared" si="14"/>
        <v>#REF!</v>
      </c>
      <c r="L231" s="76" t="s">
        <v>5</v>
      </c>
      <c r="M231" s="125" t="e">
        <f t="shared" si="15"/>
        <v>#REF!</v>
      </c>
      <c r="N231" s="77"/>
      <c r="O231" s="64"/>
      <c r="P231" s="64"/>
      <c r="Q231" s="64"/>
      <c r="R231" s="64"/>
      <c r="S231" s="64"/>
      <c r="T231" s="64"/>
      <c r="U231" s="64"/>
      <c r="V231" s="64"/>
    </row>
    <row r="232" spans="1:22" s="65" customFormat="1" ht="23.1" hidden="1" customHeight="1">
      <c r="A232" s="75" t="s">
        <v>19</v>
      </c>
      <c r="B232" s="88" t="e">
        <f>COUNTIF(#REF!,"잡")</f>
        <v>#REF!</v>
      </c>
      <c r="C232" s="76" t="s">
        <v>5</v>
      </c>
      <c r="D232" s="125" t="e">
        <f>SUMIF(#REF!,"잡",#REF!)</f>
        <v>#REF!</v>
      </c>
      <c r="E232" s="88" t="e">
        <f>COUNTIF(#REF!,"잡국")</f>
        <v>#REF!</v>
      </c>
      <c r="F232" s="76" t="s">
        <v>5</v>
      </c>
      <c r="G232" s="125" t="e">
        <f>SUMIF(#REF!,"잡국",#REF!)</f>
        <v>#REF!</v>
      </c>
      <c r="H232" s="88" t="e">
        <f>COUNTIF(#REF!,"잡공")</f>
        <v>#REF!</v>
      </c>
      <c r="I232" s="76" t="s">
        <v>5</v>
      </c>
      <c r="J232" s="125" t="e">
        <f>SUMIF(#REF!,"잡공",#REF!)</f>
        <v>#REF!</v>
      </c>
      <c r="K232" s="88" t="e">
        <f t="shared" si="14"/>
        <v>#REF!</v>
      </c>
      <c r="L232" s="76" t="s">
        <v>5</v>
      </c>
      <c r="M232" s="125" t="e">
        <f t="shared" si="15"/>
        <v>#REF!</v>
      </c>
      <c r="N232" s="77"/>
      <c r="O232" s="64"/>
      <c r="P232" s="64"/>
      <c r="Q232" s="64"/>
      <c r="R232" s="64"/>
      <c r="S232" s="64"/>
      <c r="T232" s="64"/>
      <c r="U232" s="64"/>
      <c r="V232" s="64"/>
    </row>
    <row r="233" spans="1:22" s="65" customFormat="1" ht="23.1" hidden="1" customHeight="1">
      <c r="A233" s="75" t="s">
        <v>42</v>
      </c>
      <c r="B233" s="88" t="e">
        <f>COUNTIF(#REF!,"종")</f>
        <v>#REF!</v>
      </c>
      <c r="C233" s="76" t="s">
        <v>5</v>
      </c>
      <c r="D233" s="125" t="e">
        <f>SUMIF(#REF!,"종",#REF!)</f>
        <v>#REF!</v>
      </c>
      <c r="E233" s="88" t="e">
        <f>COUNTIF(#REF!,"종국")</f>
        <v>#REF!</v>
      </c>
      <c r="F233" s="76" t="s">
        <v>5</v>
      </c>
      <c r="G233" s="125" t="e">
        <f>SUMIF(#REF!,"종국",#REF!)</f>
        <v>#REF!</v>
      </c>
      <c r="H233" s="88" t="e">
        <f>COUNTIF(#REF!,"종공")</f>
        <v>#REF!</v>
      </c>
      <c r="I233" s="76" t="s">
        <v>5</v>
      </c>
      <c r="J233" s="125" t="e">
        <f>SUMIF(#REF!,"종공",#REF!)</f>
        <v>#REF!</v>
      </c>
      <c r="K233" s="88" t="e">
        <f t="shared" si="14"/>
        <v>#REF!</v>
      </c>
      <c r="L233" s="76" t="s">
        <v>5</v>
      </c>
      <c r="M233" s="125" t="e">
        <f t="shared" si="15"/>
        <v>#REF!</v>
      </c>
      <c r="N233" s="77"/>
      <c r="O233" s="64"/>
      <c r="P233" s="64"/>
      <c r="Q233" s="64"/>
      <c r="R233" s="64"/>
      <c r="S233" s="64"/>
      <c r="T233" s="64"/>
      <c r="U233" s="64"/>
      <c r="V233" s="64"/>
    </row>
    <row r="234" spans="1:22" s="65" customFormat="1" ht="23.1" hidden="1" customHeight="1">
      <c r="A234" s="79" t="s">
        <v>43</v>
      </c>
      <c r="B234" s="88" t="e">
        <f>COUNTIF(#REF!,"염")</f>
        <v>#REF!</v>
      </c>
      <c r="C234" s="76" t="s">
        <v>5</v>
      </c>
      <c r="D234" s="125" t="e">
        <f>SUMIF(#REF!,"염",#REF!)</f>
        <v>#REF!</v>
      </c>
      <c r="E234" s="88" t="e">
        <f>COUNTIF(#REF!,"염국")</f>
        <v>#REF!</v>
      </c>
      <c r="F234" s="76" t="s">
        <v>5</v>
      </c>
      <c r="G234" s="125" t="e">
        <f>SUMIF(#REF!,"염국",#REF!)</f>
        <v>#REF!</v>
      </c>
      <c r="H234" s="88" t="e">
        <f>COUNTIF(#REF!,"염공")</f>
        <v>#REF!</v>
      </c>
      <c r="I234" s="76" t="s">
        <v>5</v>
      </c>
      <c r="J234" s="125" t="e">
        <f>SUMIF(#REF!,"염공",#REF!)</f>
        <v>#REF!</v>
      </c>
      <c r="K234" s="88" t="e">
        <f t="shared" si="14"/>
        <v>#REF!</v>
      </c>
      <c r="L234" s="76" t="s">
        <v>5</v>
      </c>
      <c r="M234" s="125" t="e">
        <f t="shared" si="15"/>
        <v>#REF!</v>
      </c>
      <c r="N234" s="77"/>
      <c r="O234" s="64"/>
      <c r="P234" s="64"/>
      <c r="Q234" s="64"/>
      <c r="R234" s="64"/>
      <c r="S234" s="64"/>
      <c r="T234" s="64"/>
      <c r="U234" s="64"/>
      <c r="V234" s="64"/>
    </row>
    <row r="235" spans="1:22" s="65" customFormat="1" ht="23.1" hidden="1" customHeight="1">
      <c r="A235" s="79" t="s">
        <v>44</v>
      </c>
      <c r="B235" s="88" t="e">
        <f>COUNTIF(#REF!,"공")</f>
        <v>#REF!</v>
      </c>
      <c r="C235" s="76" t="s">
        <v>5</v>
      </c>
      <c r="D235" s="125" t="e">
        <f>SUMIF(#REF!,"공",#REF!)</f>
        <v>#REF!</v>
      </c>
      <c r="E235" s="88" t="e">
        <f>COUNTIF(#REF!,"공국")</f>
        <v>#REF!</v>
      </c>
      <c r="F235" s="76" t="s">
        <v>5</v>
      </c>
      <c r="G235" s="125" t="e">
        <f>SUMIF(#REF!,"공국",#REF!)</f>
        <v>#REF!</v>
      </c>
      <c r="H235" s="88" t="e">
        <f>COUNTIF(#REF!,"공공")</f>
        <v>#REF!</v>
      </c>
      <c r="I235" s="76" t="s">
        <v>5</v>
      </c>
      <c r="J235" s="125" t="e">
        <f>SUMIF(#REF!,"공공",#REF!)</f>
        <v>#REF!</v>
      </c>
      <c r="K235" s="88" t="e">
        <f t="shared" si="14"/>
        <v>#REF!</v>
      </c>
      <c r="L235" s="76" t="s">
        <v>5</v>
      </c>
      <c r="M235" s="125" t="e">
        <f t="shared" si="15"/>
        <v>#REF!</v>
      </c>
      <c r="N235" s="77"/>
      <c r="O235" s="64"/>
      <c r="P235" s="64"/>
      <c r="Q235" s="64"/>
      <c r="R235" s="64"/>
      <c r="S235" s="64"/>
      <c r="T235" s="64"/>
      <c r="U235" s="64"/>
      <c r="V235" s="64"/>
    </row>
    <row r="236" spans="1:22" s="65" customFormat="1" ht="23.1" hidden="1" customHeight="1">
      <c r="A236" s="79" t="s">
        <v>45</v>
      </c>
      <c r="B236" s="88" t="e">
        <f>COUNTIF(#REF!,"체")</f>
        <v>#REF!</v>
      </c>
      <c r="C236" s="76" t="s">
        <v>5</v>
      </c>
      <c r="D236" s="125" t="e">
        <f>SUMIF(#REF!,"체",#REF!)</f>
        <v>#REF!</v>
      </c>
      <c r="E236" s="88" t="e">
        <f>COUNTIF(#REF!,"체국")</f>
        <v>#REF!</v>
      </c>
      <c r="F236" s="76" t="s">
        <v>5</v>
      </c>
      <c r="G236" s="125" t="e">
        <f>SUMIF(#REF!,"체국",#REF!)</f>
        <v>#REF!</v>
      </c>
      <c r="H236" s="88" t="e">
        <f>COUNTIF(#REF!,"체공")</f>
        <v>#REF!</v>
      </c>
      <c r="I236" s="76" t="s">
        <v>5</v>
      </c>
      <c r="J236" s="125" t="e">
        <f>SUMIF(#REF!,"체공",#REF!)</f>
        <v>#REF!</v>
      </c>
      <c r="K236" s="88" t="e">
        <f t="shared" si="14"/>
        <v>#REF!</v>
      </c>
      <c r="L236" s="76" t="s">
        <v>5</v>
      </c>
      <c r="M236" s="125" t="e">
        <f t="shared" si="15"/>
        <v>#REF!</v>
      </c>
      <c r="N236" s="77"/>
      <c r="O236" s="64"/>
      <c r="P236" s="64"/>
      <c r="Q236" s="64"/>
      <c r="R236" s="64"/>
      <c r="S236" s="64"/>
      <c r="T236" s="64"/>
      <c r="U236" s="64"/>
      <c r="V236" s="64"/>
    </row>
    <row r="237" spans="1:22" s="65" customFormat="1" ht="23.1" hidden="1" customHeight="1">
      <c r="A237" s="79" t="s">
        <v>46</v>
      </c>
      <c r="B237" s="88" t="e">
        <f>COUNTIF(#REF!,"원")</f>
        <v>#REF!</v>
      </c>
      <c r="C237" s="76" t="s">
        <v>5</v>
      </c>
      <c r="D237" s="125" t="e">
        <f>SUMIF(#REF!,"원",#REF!)</f>
        <v>#REF!</v>
      </c>
      <c r="E237" s="88" t="e">
        <f>COUNTIF(#REF!,"원국")</f>
        <v>#REF!</v>
      </c>
      <c r="F237" s="76" t="s">
        <v>5</v>
      </c>
      <c r="G237" s="125" t="e">
        <f>SUMIF(#REF!,"원국",#REF!)</f>
        <v>#REF!</v>
      </c>
      <c r="H237" s="88" t="e">
        <f>COUNTIF(#REF!,"원공")</f>
        <v>#REF!</v>
      </c>
      <c r="I237" s="76" t="s">
        <v>5</v>
      </c>
      <c r="J237" s="125" t="e">
        <f>SUMIF(#REF!,"원공",#REF!)</f>
        <v>#REF!</v>
      </c>
      <c r="K237" s="88" t="e">
        <f t="shared" si="14"/>
        <v>#REF!</v>
      </c>
      <c r="L237" s="76" t="s">
        <v>5</v>
      </c>
      <c r="M237" s="125" t="e">
        <f t="shared" si="15"/>
        <v>#REF!</v>
      </c>
      <c r="N237" s="77"/>
      <c r="O237" s="64"/>
      <c r="P237" s="64"/>
      <c r="Q237" s="64"/>
      <c r="R237" s="64"/>
      <c r="S237" s="64"/>
      <c r="T237" s="64"/>
      <c r="U237" s="64"/>
      <c r="V237" s="64"/>
    </row>
    <row r="238" spans="1:22" s="65" customFormat="1" ht="23.1" hidden="1" customHeight="1">
      <c r="A238" s="79" t="s">
        <v>56</v>
      </c>
      <c r="B238" s="88" t="e">
        <f>COUNTIF(#REF!,"주")</f>
        <v>#REF!</v>
      </c>
      <c r="C238" s="76" t="s">
        <v>5</v>
      </c>
      <c r="D238" s="125" t="e">
        <f>SUMIF(#REF!,"주",#REF!)</f>
        <v>#REF!</v>
      </c>
      <c r="E238" s="88" t="e">
        <f>COUNTIF(#REF!,"주국")</f>
        <v>#REF!</v>
      </c>
      <c r="F238" s="76" t="s">
        <v>5</v>
      </c>
      <c r="G238" s="125" t="e">
        <f>SUMIF(#REF!,"주국",#REF!)</f>
        <v>#REF!</v>
      </c>
      <c r="H238" s="88" t="e">
        <f>COUNTIF(#REF!,"주공")</f>
        <v>#REF!</v>
      </c>
      <c r="I238" s="76" t="s">
        <v>5</v>
      </c>
      <c r="J238" s="125" t="e">
        <f>SUMIF(#REF!,"주공",#REF!)</f>
        <v>#REF!</v>
      </c>
      <c r="K238" s="88" t="e">
        <f t="shared" si="14"/>
        <v>#REF!</v>
      </c>
      <c r="L238" s="76" t="s">
        <v>5</v>
      </c>
      <c r="M238" s="125" t="e">
        <f t="shared" si="15"/>
        <v>#REF!</v>
      </c>
      <c r="N238" s="77"/>
      <c r="O238" s="64"/>
      <c r="P238" s="64"/>
      <c r="Q238" s="64"/>
      <c r="R238" s="64"/>
      <c r="S238" s="64"/>
      <c r="T238" s="64"/>
      <c r="U238" s="64"/>
      <c r="V238" s="64"/>
    </row>
    <row r="239" spans="1:22" s="65" customFormat="1" ht="23.1" hidden="1" customHeight="1">
      <c r="A239" s="79" t="s">
        <v>57</v>
      </c>
      <c r="B239" s="88" t="e">
        <f>COUNTIF(#REF!,"창")</f>
        <v>#REF!</v>
      </c>
      <c r="C239" s="76" t="s">
        <v>5</v>
      </c>
      <c r="D239" s="125" t="e">
        <f>SUMIF(#REF!,"창",#REF!)</f>
        <v>#REF!</v>
      </c>
      <c r="E239" s="88" t="e">
        <f>COUNTIF(#REF!,"창국")</f>
        <v>#REF!</v>
      </c>
      <c r="F239" s="76" t="s">
        <v>5</v>
      </c>
      <c r="G239" s="125" t="e">
        <f>SUMIF(#REF!,"창국",#REF!)</f>
        <v>#REF!</v>
      </c>
      <c r="H239" s="88" t="e">
        <f>COUNTIF(#REF!,"창공")</f>
        <v>#REF!</v>
      </c>
      <c r="I239" s="76" t="s">
        <v>5</v>
      </c>
      <c r="J239" s="125" t="e">
        <f>SUMIF(#REF!,"창공",#REF!)</f>
        <v>#REF!</v>
      </c>
      <c r="K239" s="88" t="e">
        <f t="shared" si="14"/>
        <v>#REF!</v>
      </c>
      <c r="L239" s="76" t="s">
        <v>5</v>
      </c>
      <c r="M239" s="125" t="e">
        <f t="shared" si="15"/>
        <v>#REF!</v>
      </c>
      <c r="N239" s="77"/>
      <c r="O239" s="64"/>
      <c r="P239" s="64"/>
      <c r="Q239" s="64"/>
      <c r="R239" s="64"/>
      <c r="S239" s="64"/>
      <c r="T239" s="64"/>
      <c r="U239" s="64"/>
      <c r="V239" s="64"/>
    </row>
    <row r="240" spans="1:22" s="65" customFormat="1" ht="23.1" hidden="1" customHeight="1">
      <c r="A240" s="80" t="s">
        <v>24</v>
      </c>
      <c r="B240" s="89" t="e">
        <f>COUNTIF(#REF!," ")</f>
        <v>#REF!</v>
      </c>
      <c r="C240" s="81" t="s">
        <v>5</v>
      </c>
      <c r="D240" s="126" t="e">
        <f>SUMIF(#REF!," ",#REF!)</f>
        <v>#REF!</v>
      </c>
      <c r="E240" s="89" t="e">
        <f>COUNTIF(#REF!," 국")</f>
        <v>#REF!</v>
      </c>
      <c r="F240" s="81" t="s">
        <v>5</v>
      </c>
      <c r="G240" s="126" t="e">
        <f>SUMIF(#REF!," 국",#REF!)</f>
        <v>#REF!</v>
      </c>
      <c r="H240" s="89" t="e">
        <f>COUNTIF(#REF!," 공")</f>
        <v>#REF!</v>
      </c>
      <c r="I240" s="81" t="s">
        <v>5</v>
      </c>
      <c r="J240" s="126" t="e">
        <f>SUMIF(#REF!," 공",#REF!)</f>
        <v>#REF!</v>
      </c>
      <c r="K240" s="89" t="e">
        <f t="shared" si="14"/>
        <v>#REF!</v>
      </c>
      <c r="L240" s="81" t="s">
        <v>5</v>
      </c>
      <c r="M240" s="126" t="e">
        <f t="shared" si="15"/>
        <v>#REF!</v>
      </c>
      <c r="N240" s="82"/>
      <c r="O240" s="64"/>
      <c r="P240" s="64"/>
      <c r="Q240" s="64"/>
      <c r="R240" s="64"/>
      <c r="S240" s="64"/>
      <c r="T240" s="64"/>
      <c r="U240" s="64"/>
      <c r="V240" s="64"/>
    </row>
    <row r="241" spans="1:22" s="59" customFormat="1" ht="20.100000000000001" hidden="1" customHeight="1">
      <c r="A241" s="56" t="e">
        <f>IF(EXACT(O245,O246),,"검산확인요!!!")</f>
        <v>#REF!</v>
      </c>
      <c r="B241" s="57"/>
      <c r="C241" s="57"/>
      <c r="D241" s="95"/>
      <c r="E241" s="57"/>
      <c r="F241" s="57"/>
      <c r="G241" s="95"/>
      <c r="H241" s="57"/>
      <c r="I241" s="57"/>
      <c r="J241" s="95"/>
      <c r="K241" s="86" t="e">
        <f>IF(ISBLANK(#REF!),,#REF!)</f>
        <v>#REF!</v>
      </c>
      <c r="L241" s="58"/>
      <c r="M241" s="97"/>
      <c r="N241" s="53"/>
    </row>
    <row r="242" spans="1:22" s="59" customFormat="1" ht="9.9499999999999993" hidden="1" customHeight="1">
      <c r="A242" s="56"/>
      <c r="B242" s="57"/>
      <c r="C242" s="57"/>
      <c r="D242" s="95"/>
      <c r="E242" s="57"/>
      <c r="F242" s="57"/>
      <c r="G242" s="95"/>
      <c r="H242" s="57"/>
      <c r="I242" s="57"/>
      <c r="J242" s="95"/>
      <c r="K242" s="57"/>
      <c r="L242" s="57"/>
      <c r="M242" s="95"/>
      <c r="N242" s="57"/>
    </row>
    <row r="243" spans="1:22" s="65" customFormat="1" ht="27.95" hidden="1" customHeight="1">
      <c r="A243" s="60" t="s">
        <v>2</v>
      </c>
      <c r="B243" s="61" t="s">
        <v>3</v>
      </c>
      <c r="C243" s="62"/>
      <c r="D243" s="127"/>
      <c r="E243" s="61" t="s">
        <v>47</v>
      </c>
      <c r="F243" s="62"/>
      <c r="G243" s="127"/>
      <c r="H243" s="61" t="s">
        <v>58</v>
      </c>
      <c r="I243" s="62"/>
      <c r="J243" s="127"/>
      <c r="K243" s="61" t="s">
        <v>48</v>
      </c>
      <c r="L243" s="62"/>
      <c r="M243" s="127"/>
      <c r="N243" s="63" t="s">
        <v>22</v>
      </c>
      <c r="O243" s="64"/>
      <c r="S243" s="64"/>
      <c r="T243" s="64"/>
      <c r="U243" s="64"/>
      <c r="V243" s="64"/>
    </row>
    <row r="244" spans="1:22" s="65" customFormat="1" ht="27.95" hidden="1" customHeight="1">
      <c r="A244" s="66"/>
      <c r="B244" s="67" t="s">
        <v>4</v>
      </c>
      <c r="C244" s="68" t="s">
        <v>5</v>
      </c>
      <c r="D244" s="128" t="s">
        <v>49</v>
      </c>
      <c r="E244" s="67" t="s">
        <v>4</v>
      </c>
      <c r="F244" s="68" t="s">
        <v>5</v>
      </c>
      <c r="G244" s="128" t="s">
        <v>49</v>
      </c>
      <c r="H244" s="67" t="s">
        <v>4</v>
      </c>
      <c r="I244" s="68" t="s">
        <v>5</v>
      </c>
      <c r="J244" s="128" t="s">
        <v>49</v>
      </c>
      <c r="K244" s="67" t="s">
        <v>4</v>
      </c>
      <c r="L244" s="68" t="s">
        <v>5</v>
      </c>
      <c r="M244" s="128" t="s">
        <v>49</v>
      </c>
      <c r="N244" s="69"/>
      <c r="P244" s="64"/>
      <c r="Q244" s="70" t="s">
        <v>50</v>
      </c>
      <c r="R244" s="70" t="s">
        <v>51</v>
      </c>
      <c r="S244" s="70" t="s">
        <v>52</v>
      </c>
      <c r="T244" s="70" t="s">
        <v>53</v>
      </c>
      <c r="U244" s="64"/>
      <c r="V244" s="64"/>
    </row>
    <row r="245" spans="1:22" s="65" customFormat="1" ht="23.1" hidden="1" customHeight="1">
      <c r="A245" s="71" t="s">
        <v>3</v>
      </c>
      <c r="B245" s="87" t="e">
        <f>SUM(B246:B270)</f>
        <v>#REF!</v>
      </c>
      <c r="C245" s="72" t="s">
        <v>5</v>
      </c>
      <c r="D245" s="124" t="e">
        <f>SUM(D246:D270)</f>
        <v>#REF!</v>
      </c>
      <c r="E245" s="87" t="e">
        <f>SUM(E246:E270)</f>
        <v>#REF!</v>
      </c>
      <c r="F245" s="72" t="s">
        <v>5</v>
      </c>
      <c r="G245" s="124" t="e">
        <f>SUM(G246:G270)</f>
        <v>#REF!</v>
      </c>
      <c r="H245" s="87" t="e">
        <f>SUM(H246:H270)</f>
        <v>#REF!</v>
      </c>
      <c r="I245" s="72" t="s">
        <v>5</v>
      </c>
      <c r="J245" s="124" t="e">
        <f>SUM(J246:J270)</f>
        <v>#REF!</v>
      </c>
      <c r="K245" s="87" t="e">
        <f>SUM(K246:K270)</f>
        <v>#REF!</v>
      </c>
      <c r="L245" s="72" t="s">
        <v>5</v>
      </c>
      <c r="M245" s="124" t="e">
        <f>SUM(M246:M270)</f>
        <v>#REF!</v>
      </c>
      <c r="N245" s="73"/>
      <c r="O245" s="64" t="e">
        <f>IF(EXACT(Q245,T245),"맞음","틀림")</f>
        <v>#REF!</v>
      </c>
      <c r="P245" s="64" t="s">
        <v>4</v>
      </c>
      <c r="Q245" s="74" t="e">
        <f>SUM(B246:B270)</f>
        <v>#REF!</v>
      </c>
      <c r="R245" s="74" t="e">
        <f>SUM(H246:H270)</f>
        <v>#REF!</v>
      </c>
      <c r="S245" s="74" t="e">
        <f>SUM(K246:K270)</f>
        <v>#REF!</v>
      </c>
      <c r="T245" s="74" t="e">
        <f>K245+H245</f>
        <v>#REF!</v>
      </c>
      <c r="U245" s="64"/>
      <c r="V245" s="64"/>
    </row>
    <row r="246" spans="1:22" s="65" customFormat="1" ht="23.1" hidden="1" customHeight="1">
      <c r="A246" s="75" t="s">
        <v>7</v>
      </c>
      <c r="B246" s="88" t="e">
        <f>COUNTIF(#REF!,"전")</f>
        <v>#REF!</v>
      </c>
      <c r="C246" s="76" t="s">
        <v>5</v>
      </c>
      <c r="D246" s="125" t="e">
        <f>SUMIF(#REF!,"전",#REF!)</f>
        <v>#REF!</v>
      </c>
      <c r="E246" s="88" t="e">
        <f>COUNTIF(#REF!,"전국")</f>
        <v>#REF!</v>
      </c>
      <c r="F246" s="76" t="s">
        <v>5</v>
      </c>
      <c r="G246" s="125" t="e">
        <f>SUMIF(#REF!,"전국",#REF!)</f>
        <v>#REF!</v>
      </c>
      <c r="H246" s="88" t="e">
        <f>COUNTIF(#REF!,"전공")</f>
        <v>#REF!</v>
      </c>
      <c r="I246" s="76" t="s">
        <v>5</v>
      </c>
      <c r="J246" s="125" t="e">
        <f>SUMIF(#REF!,"전공",#REF!)</f>
        <v>#REF!</v>
      </c>
      <c r="K246" s="88" t="e">
        <f t="shared" ref="K246:K270" si="16">B246-H246</f>
        <v>#REF!</v>
      </c>
      <c r="L246" s="76" t="s">
        <v>5</v>
      </c>
      <c r="M246" s="125" t="e">
        <f t="shared" ref="M246:M270" si="17">D246-J246</f>
        <v>#REF!</v>
      </c>
      <c r="N246" s="77"/>
      <c r="O246" s="64" t="e">
        <f>IF(EXACT(Q246,T246),"맞음","틀림")</f>
        <v>#REF!</v>
      </c>
      <c r="P246" s="64" t="s">
        <v>54</v>
      </c>
      <c r="Q246" s="74" t="e">
        <f>SUM(D246:D270)</f>
        <v>#REF!</v>
      </c>
      <c r="R246" s="74" t="e">
        <f>SUM(J246:J270)</f>
        <v>#REF!</v>
      </c>
      <c r="S246" s="74" t="e">
        <f>SUM(M246:M270)</f>
        <v>#REF!</v>
      </c>
      <c r="T246" s="74" t="e">
        <f>J245+M245</f>
        <v>#REF!</v>
      </c>
      <c r="U246" s="64"/>
      <c r="V246" s="64"/>
    </row>
    <row r="247" spans="1:22" s="65" customFormat="1" ht="23.1" hidden="1" customHeight="1">
      <c r="A247" s="75" t="s">
        <v>8</v>
      </c>
      <c r="B247" s="88" t="e">
        <f>COUNTIF(#REF!,"답")</f>
        <v>#REF!</v>
      </c>
      <c r="C247" s="76" t="s">
        <v>5</v>
      </c>
      <c r="D247" s="125" t="e">
        <f>SUMIF(#REF!,"답",#REF!)</f>
        <v>#REF!</v>
      </c>
      <c r="E247" s="88" t="e">
        <f>COUNTIF(#REF!,"답국")</f>
        <v>#REF!</v>
      </c>
      <c r="F247" s="76" t="s">
        <v>5</v>
      </c>
      <c r="G247" s="125" t="e">
        <f>SUMIF(#REF!,"답국",#REF!)</f>
        <v>#REF!</v>
      </c>
      <c r="H247" s="88" t="e">
        <f>COUNTIF(#REF!,"답공")</f>
        <v>#REF!</v>
      </c>
      <c r="I247" s="76" t="s">
        <v>5</v>
      </c>
      <c r="J247" s="125" t="e">
        <f>SUMIF(#REF!,"답공",#REF!)</f>
        <v>#REF!</v>
      </c>
      <c r="K247" s="88" t="e">
        <f t="shared" si="16"/>
        <v>#REF!</v>
      </c>
      <c r="L247" s="76" t="s">
        <v>5</v>
      </c>
      <c r="M247" s="125" t="e">
        <f t="shared" si="17"/>
        <v>#REF!</v>
      </c>
      <c r="N247" s="77"/>
      <c r="Q247" s="64"/>
      <c r="S247" s="64"/>
      <c r="U247" s="64"/>
      <c r="V247" s="64"/>
    </row>
    <row r="248" spans="1:22" s="65" customFormat="1" ht="23.1" hidden="1" customHeight="1">
      <c r="A248" s="78" t="s">
        <v>9</v>
      </c>
      <c r="B248" s="88" t="e">
        <f>COUNTIF(#REF!,"임")</f>
        <v>#REF!</v>
      </c>
      <c r="C248" s="76" t="s">
        <v>5</v>
      </c>
      <c r="D248" s="125" t="e">
        <f>SUMIF(#REF!,"임",#REF!)</f>
        <v>#REF!</v>
      </c>
      <c r="E248" s="88" t="e">
        <f>COUNTIF(#REF!,"임국")</f>
        <v>#REF!</v>
      </c>
      <c r="F248" s="76" t="s">
        <v>5</v>
      </c>
      <c r="G248" s="125" t="e">
        <f>SUMIF(#REF!,"임국",#REF!)</f>
        <v>#REF!</v>
      </c>
      <c r="H248" s="88" t="e">
        <f>COUNTIF(#REF!,"임공")</f>
        <v>#REF!</v>
      </c>
      <c r="I248" s="76" t="s">
        <v>5</v>
      </c>
      <c r="J248" s="125" t="e">
        <f>SUMIF(#REF!,"임공",#REF!)</f>
        <v>#REF!</v>
      </c>
      <c r="K248" s="88" t="e">
        <f t="shared" si="16"/>
        <v>#REF!</v>
      </c>
      <c r="L248" s="76" t="s">
        <v>5</v>
      </c>
      <c r="M248" s="125" t="e">
        <f t="shared" si="17"/>
        <v>#REF!</v>
      </c>
      <c r="N248" s="77"/>
      <c r="Q248" s="64"/>
      <c r="S248" s="64"/>
      <c r="U248" s="64"/>
      <c r="V248" s="64"/>
    </row>
    <row r="249" spans="1:22" s="65" customFormat="1" ht="23.1" hidden="1" customHeight="1">
      <c r="A249" s="75" t="s">
        <v>10</v>
      </c>
      <c r="B249" s="88" t="e">
        <f>COUNTIF(#REF!,"대")</f>
        <v>#REF!</v>
      </c>
      <c r="C249" s="76" t="s">
        <v>5</v>
      </c>
      <c r="D249" s="125" t="e">
        <f>SUMIF(#REF!,"대",#REF!)</f>
        <v>#REF!</v>
      </c>
      <c r="E249" s="88" t="e">
        <f>COUNTIF(#REF!,"대국")</f>
        <v>#REF!</v>
      </c>
      <c r="F249" s="76" t="s">
        <v>5</v>
      </c>
      <c r="G249" s="125" t="e">
        <f>SUMIF(#REF!,"대국",#REF!)</f>
        <v>#REF!</v>
      </c>
      <c r="H249" s="88" t="e">
        <f>COUNTIF(#REF!,"대공")</f>
        <v>#REF!</v>
      </c>
      <c r="I249" s="76" t="s">
        <v>5</v>
      </c>
      <c r="J249" s="125" t="e">
        <f>SUMIF(#REF!,"대공",#REF!)</f>
        <v>#REF!</v>
      </c>
      <c r="K249" s="88" t="e">
        <f t="shared" si="16"/>
        <v>#REF!</v>
      </c>
      <c r="L249" s="76" t="s">
        <v>5</v>
      </c>
      <c r="M249" s="125" t="e">
        <f t="shared" si="17"/>
        <v>#REF!</v>
      </c>
      <c r="N249" s="77"/>
      <c r="O249" s="64"/>
      <c r="P249" s="64"/>
      <c r="Q249" s="64"/>
      <c r="R249" s="64"/>
      <c r="S249" s="64"/>
      <c r="T249" s="64"/>
      <c r="U249" s="64"/>
      <c r="V249" s="64"/>
    </row>
    <row r="250" spans="1:22" s="65" customFormat="1" ht="23.1" hidden="1" customHeight="1">
      <c r="A250" s="75" t="s">
        <v>11</v>
      </c>
      <c r="B250" s="88" t="e">
        <f>COUNTIF(#REF!,"도")</f>
        <v>#REF!</v>
      </c>
      <c r="C250" s="76" t="s">
        <v>5</v>
      </c>
      <c r="D250" s="125" t="e">
        <f>SUMIF(#REF!,"도",#REF!)</f>
        <v>#REF!</v>
      </c>
      <c r="E250" s="88" t="e">
        <f>COUNTIF(#REF!,"도국")</f>
        <v>#REF!</v>
      </c>
      <c r="F250" s="76" t="s">
        <v>5</v>
      </c>
      <c r="G250" s="125" t="e">
        <f>SUMIF(#REF!,"도국",#REF!)</f>
        <v>#REF!</v>
      </c>
      <c r="H250" s="88" t="e">
        <f>COUNTIF(#REF!,"도공")</f>
        <v>#REF!</v>
      </c>
      <c r="I250" s="76" t="s">
        <v>5</v>
      </c>
      <c r="J250" s="125" t="e">
        <f>SUMIF(#REF!,"도공",#REF!)</f>
        <v>#REF!</v>
      </c>
      <c r="K250" s="88" t="e">
        <f t="shared" si="16"/>
        <v>#REF!</v>
      </c>
      <c r="L250" s="76" t="s">
        <v>5</v>
      </c>
      <c r="M250" s="125" t="e">
        <f t="shared" si="17"/>
        <v>#REF!</v>
      </c>
      <c r="N250" s="77"/>
      <c r="O250" s="64"/>
      <c r="P250" s="64"/>
      <c r="Q250" s="64"/>
      <c r="R250" s="64"/>
      <c r="S250" s="64"/>
      <c r="T250" s="64"/>
      <c r="U250" s="64"/>
      <c r="V250" s="64"/>
    </row>
    <row r="251" spans="1:22" s="65" customFormat="1" ht="23.1" hidden="1" customHeight="1">
      <c r="A251" s="75" t="s">
        <v>13</v>
      </c>
      <c r="B251" s="88" t="e">
        <f>COUNTIF(#REF!,"구")</f>
        <v>#REF!</v>
      </c>
      <c r="C251" s="76" t="s">
        <v>5</v>
      </c>
      <c r="D251" s="125" t="e">
        <f>SUMIF(#REF!,"구",#REF!)</f>
        <v>#REF!</v>
      </c>
      <c r="E251" s="88" t="e">
        <f>COUNTIF(#REF!,"구국")</f>
        <v>#REF!</v>
      </c>
      <c r="F251" s="76" t="s">
        <v>5</v>
      </c>
      <c r="G251" s="125" t="e">
        <f>SUMIF(#REF!,"구국",#REF!)</f>
        <v>#REF!</v>
      </c>
      <c r="H251" s="88" t="e">
        <f>COUNTIF(#REF!,"구공")</f>
        <v>#REF!</v>
      </c>
      <c r="I251" s="76" t="s">
        <v>5</v>
      </c>
      <c r="J251" s="125" t="e">
        <f>SUMIF(#REF!,"구공",#REF!)</f>
        <v>#REF!</v>
      </c>
      <c r="K251" s="88" t="e">
        <f t="shared" si="16"/>
        <v>#REF!</v>
      </c>
      <c r="L251" s="76" t="s">
        <v>5</v>
      </c>
      <c r="M251" s="125" t="e">
        <f t="shared" si="17"/>
        <v>#REF!</v>
      </c>
      <c r="N251" s="77"/>
      <c r="O251" s="64"/>
      <c r="P251" s="64"/>
      <c r="Q251" s="64"/>
      <c r="R251" s="64"/>
      <c r="S251" s="64"/>
      <c r="T251" s="64"/>
      <c r="U251" s="64"/>
      <c r="V251" s="64"/>
    </row>
    <row r="252" spans="1:22" s="65" customFormat="1" ht="23.1" hidden="1" customHeight="1">
      <c r="A252" s="75" t="s">
        <v>12</v>
      </c>
      <c r="B252" s="88" t="e">
        <f>COUNTIF(#REF!,"천")</f>
        <v>#REF!</v>
      </c>
      <c r="C252" s="76" t="s">
        <v>5</v>
      </c>
      <c r="D252" s="125" t="e">
        <f>SUMIF(#REF!,"천",#REF!)</f>
        <v>#REF!</v>
      </c>
      <c r="E252" s="88" t="e">
        <f>COUNTIF(#REF!,"천국")</f>
        <v>#REF!</v>
      </c>
      <c r="F252" s="76" t="s">
        <v>5</v>
      </c>
      <c r="G252" s="125" t="e">
        <f>SUMIF(#REF!,"천국",#REF!)</f>
        <v>#REF!</v>
      </c>
      <c r="H252" s="88" t="e">
        <f>COUNTIF(#REF!,"천공")</f>
        <v>#REF!</v>
      </c>
      <c r="I252" s="76" t="s">
        <v>5</v>
      </c>
      <c r="J252" s="125" t="e">
        <f>SUMIF(#REF!,"천공",#REF!)</f>
        <v>#REF!</v>
      </c>
      <c r="K252" s="88" t="e">
        <f t="shared" si="16"/>
        <v>#REF!</v>
      </c>
      <c r="L252" s="76" t="s">
        <v>5</v>
      </c>
      <c r="M252" s="125" t="e">
        <f t="shared" si="17"/>
        <v>#REF!</v>
      </c>
      <c r="N252" s="77"/>
      <c r="O252" s="64"/>
      <c r="P252" s="64"/>
      <c r="Q252" s="64"/>
      <c r="R252" s="64"/>
      <c r="S252" s="64"/>
      <c r="T252" s="64"/>
      <c r="U252" s="64"/>
      <c r="V252" s="64"/>
    </row>
    <row r="253" spans="1:22" s="65" customFormat="1" ht="23.1" hidden="1" customHeight="1">
      <c r="A253" s="75" t="s">
        <v>15</v>
      </c>
      <c r="B253" s="88" t="e">
        <f>COUNTIF(#REF!,"유")</f>
        <v>#REF!</v>
      </c>
      <c r="C253" s="76" t="s">
        <v>5</v>
      </c>
      <c r="D253" s="125" t="e">
        <f>SUMIF(#REF!,"유",#REF!)</f>
        <v>#REF!</v>
      </c>
      <c r="E253" s="88" t="e">
        <f>COUNTIF(#REF!,"유국")</f>
        <v>#REF!</v>
      </c>
      <c r="F253" s="76" t="s">
        <v>5</v>
      </c>
      <c r="G253" s="125" t="e">
        <f>SUMIF(#REF!,"유국",#REF!)</f>
        <v>#REF!</v>
      </c>
      <c r="H253" s="88" t="e">
        <f>COUNTIF(#REF!,"유공")</f>
        <v>#REF!</v>
      </c>
      <c r="I253" s="76" t="s">
        <v>5</v>
      </c>
      <c r="J253" s="125" t="e">
        <f>SUMIF(#REF!,"유공",#REF!)</f>
        <v>#REF!</v>
      </c>
      <c r="K253" s="88" t="e">
        <f t="shared" si="16"/>
        <v>#REF!</v>
      </c>
      <c r="L253" s="76" t="s">
        <v>5</v>
      </c>
      <c r="M253" s="125" t="e">
        <f t="shared" si="17"/>
        <v>#REF!</v>
      </c>
      <c r="N253" s="77"/>
      <c r="O253" s="64"/>
      <c r="P253" s="64"/>
      <c r="Q253" s="64"/>
      <c r="R253" s="64"/>
      <c r="S253" s="64"/>
      <c r="T253" s="64"/>
      <c r="U253" s="64"/>
      <c r="V253" s="64"/>
    </row>
    <row r="254" spans="1:22" s="65" customFormat="1" ht="23.1" hidden="1" customHeight="1">
      <c r="A254" s="75" t="s">
        <v>14</v>
      </c>
      <c r="B254" s="88" t="e">
        <f>COUNTIF(#REF!,"제")</f>
        <v>#REF!</v>
      </c>
      <c r="C254" s="76" t="s">
        <v>5</v>
      </c>
      <c r="D254" s="125" t="e">
        <f>SUMIF(#REF!,"제",#REF!)</f>
        <v>#REF!</v>
      </c>
      <c r="E254" s="88" t="e">
        <f>COUNTIF(#REF!,"제국")</f>
        <v>#REF!</v>
      </c>
      <c r="F254" s="76" t="s">
        <v>5</v>
      </c>
      <c r="G254" s="125" t="e">
        <f>SUMIF(#REF!,"제국",#REF!)</f>
        <v>#REF!</v>
      </c>
      <c r="H254" s="88" t="e">
        <f>COUNTIF(#REF!,"제공")</f>
        <v>#REF!</v>
      </c>
      <c r="I254" s="76" t="s">
        <v>5</v>
      </c>
      <c r="J254" s="125" t="e">
        <f>SUMIF(#REF!,"제공",#REF!)</f>
        <v>#REF!</v>
      </c>
      <c r="K254" s="88" t="e">
        <f t="shared" si="16"/>
        <v>#REF!</v>
      </c>
      <c r="L254" s="76" t="s">
        <v>5</v>
      </c>
      <c r="M254" s="125" t="e">
        <f t="shared" si="17"/>
        <v>#REF!</v>
      </c>
      <c r="N254" s="77"/>
      <c r="O254" s="64"/>
      <c r="P254" s="64"/>
      <c r="Q254" s="64"/>
      <c r="R254" s="64"/>
      <c r="S254" s="64"/>
      <c r="T254" s="64"/>
      <c r="U254" s="64"/>
      <c r="V254" s="64"/>
    </row>
    <row r="255" spans="1:22" s="65" customFormat="1" ht="23.1" hidden="1" customHeight="1">
      <c r="A255" s="75" t="s">
        <v>16</v>
      </c>
      <c r="B255" s="88" t="e">
        <f>COUNTIF(#REF!,"과")</f>
        <v>#REF!</v>
      </c>
      <c r="C255" s="76" t="s">
        <v>5</v>
      </c>
      <c r="D255" s="125" t="e">
        <f>SUMIF(#REF!,"과",#REF!)</f>
        <v>#REF!</v>
      </c>
      <c r="E255" s="88" t="e">
        <f>COUNTIF(#REF!,"과국")</f>
        <v>#REF!</v>
      </c>
      <c r="F255" s="76" t="s">
        <v>5</v>
      </c>
      <c r="G255" s="125" t="e">
        <f>SUMIF(#REF!,"과국",#REF!)</f>
        <v>#REF!</v>
      </c>
      <c r="H255" s="88" t="e">
        <f>COUNTIF(#REF!,"과공")</f>
        <v>#REF!</v>
      </c>
      <c r="I255" s="76" t="s">
        <v>5</v>
      </c>
      <c r="J255" s="125" t="e">
        <f>SUMIF(#REF!,"과공",#REF!)</f>
        <v>#REF!</v>
      </c>
      <c r="K255" s="88" t="e">
        <f t="shared" si="16"/>
        <v>#REF!</v>
      </c>
      <c r="L255" s="76" t="s">
        <v>5</v>
      </c>
      <c r="M255" s="125" t="e">
        <f t="shared" si="17"/>
        <v>#REF!</v>
      </c>
      <c r="N255" s="77"/>
      <c r="O255" s="64"/>
      <c r="P255" s="64"/>
      <c r="Q255" s="64"/>
      <c r="R255" s="64"/>
      <c r="S255" s="64"/>
      <c r="T255" s="64"/>
      <c r="U255" s="64"/>
      <c r="V255" s="64"/>
    </row>
    <row r="256" spans="1:22" s="65" customFormat="1" ht="23.1" hidden="1" customHeight="1">
      <c r="A256" s="75" t="s">
        <v>21</v>
      </c>
      <c r="B256" s="88" t="e">
        <f>COUNTIF(#REF!,"장")</f>
        <v>#REF!</v>
      </c>
      <c r="C256" s="76" t="s">
        <v>5</v>
      </c>
      <c r="D256" s="125" t="e">
        <f>SUMIF(#REF!,"장",#REF!)</f>
        <v>#REF!</v>
      </c>
      <c r="E256" s="88" t="e">
        <f>COUNTIF(#REF!,"장국")</f>
        <v>#REF!</v>
      </c>
      <c r="F256" s="76" t="s">
        <v>5</v>
      </c>
      <c r="G256" s="125" t="e">
        <f>SUMIF(#REF!,"장국",#REF!)</f>
        <v>#REF!</v>
      </c>
      <c r="H256" s="88" t="e">
        <f>COUNTIF(#REF!,"장공")</f>
        <v>#REF!</v>
      </c>
      <c r="I256" s="76" t="s">
        <v>5</v>
      </c>
      <c r="J256" s="125" t="e">
        <f>SUMIF(#REF!,"장공",#REF!)</f>
        <v>#REF!</v>
      </c>
      <c r="K256" s="88" t="e">
        <f t="shared" si="16"/>
        <v>#REF!</v>
      </c>
      <c r="L256" s="76" t="s">
        <v>5</v>
      </c>
      <c r="M256" s="125" t="e">
        <f t="shared" si="17"/>
        <v>#REF!</v>
      </c>
      <c r="N256" s="77"/>
      <c r="O256" s="64"/>
      <c r="P256" s="64"/>
      <c r="Q256" s="64"/>
      <c r="R256" s="64"/>
      <c r="S256" s="64"/>
      <c r="T256" s="64"/>
      <c r="U256" s="64"/>
      <c r="V256" s="64"/>
    </row>
    <row r="257" spans="1:22" s="65" customFormat="1" ht="23.1" hidden="1" customHeight="1">
      <c r="A257" s="75" t="s">
        <v>18</v>
      </c>
      <c r="B257" s="88" t="e">
        <f>COUNTIF(#REF!,"목")</f>
        <v>#REF!</v>
      </c>
      <c r="C257" s="76" t="s">
        <v>5</v>
      </c>
      <c r="D257" s="125" t="e">
        <f>SUMIF(#REF!,"목",#REF!)</f>
        <v>#REF!</v>
      </c>
      <c r="E257" s="88" t="e">
        <f>COUNTIF(#REF!,"목국")</f>
        <v>#REF!</v>
      </c>
      <c r="F257" s="76" t="s">
        <v>5</v>
      </c>
      <c r="G257" s="125" t="e">
        <f>SUMIF(#REF!,"목국",#REF!)</f>
        <v>#REF!</v>
      </c>
      <c r="H257" s="88" t="e">
        <f>COUNTIF(#REF!,"목공")</f>
        <v>#REF!</v>
      </c>
      <c r="I257" s="76" t="s">
        <v>5</v>
      </c>
      <c r="J257" s="125" t="e">
        <f>SUMIF(#REF!,"목공",#REF!)</f>
        <v>#REF!</v>
      </c>
      <c r="K257" s="88" t="e">
        <f t="shared" si="16"/>
        <v>#REF!</v>
      </c>
      <c r="L257" s="76" t="s">
        <v>5</v>
      </c>
      <c r="M257" s="125" t="e">
        <f t="shared" si="17"/>
        <v>#REF!</v>
      </c>
      <c r="N257" s="77"/>
      <c r="O257" s="64"/>
      <c r="P257" s="64"/>
      <c r="Q257" s="64"/>
      <c r="R257" s="64"/>
      <c r="S257" s="64"/>
      <c r="T257" s="64"/>
      <c r="U257" s="64"/>
      <c r="V257" s="64"/>
    </row>
    <row r="258" spans="1:22" s="65" customFormat="1" ht="23.1" hidden="1" customHeight="1">
      <c r="A258" s="75" t="s">
        <v>23</v>
      </c>
      <c r="B258" s="88" t="e">
        <f>COUNTIF(#REF!,"학")</f>
        <v>#REF!</v>
      </c>
      <c r="C258" s="76" t="s">
        <v>5</v>
      </c>
      <c r="D258" s="125" t="e">
        <f>SUMIF(#REF!,"학",#REF!)</f>
        <v>#REF!</v>
      </c>
      <c r="E258" s="88" t="e">
        <f>COUNTIF(#REF!,"학국")</f>
        <v>#REF!</v>
      </c>
      <c r="F258" s="76" t="s">
        <v>5</v>
      </c>
      <c r="G258" s="125" t="e">
        <f>SUMIF(#REF!,"학국",#REF!)</f>
        <v>#REF!</v>
      </c>
      <c r="H258" s="88" t="e">
        <f>COUNTIF(#REF!,"학공")</f>
        <v>#REF!</v>
      </c>
      <c r="I258" s="76" t="s">
        <v>5</v>
      </c>
      <c r="J258" s="125" t="e">
        <f>SUMIF(#REF!,"학공",#REF!)</f>
        <v>#REF!</v>
      </c>
      <c r="K258" s="88" t="e">
        <f t="shared" si="16"/>
        <v>#REF!</v>
      </c>
      <c r="L258" s="76" t="s">
        <v>5</v>
      </c>
      <c r="M258" s="125" t="e">
        <f t="shared" si="17"/>
        <v>#REF!</v>
      </c>
      <c r="N258" s="77"/>
      <c r="O258" s="64"/>
      <c r="P258" s="64"/>
      <c r="Q258" s="64"/>
      <c r="R258" s="64"/>
      <c r="S258" s="64"/>
      <c r="T258" s="64"/>
      <c r="U258" s="64"/>
      <c r="V258" s="64"/>
    </row>
    <row r="259" spans="1:22" s="65" customFormat="1" ht="23.1" hidden="1" customHeight="1">
      <c r="A259" s="75" t="s">
        <v>41</v>
      </c>
      <c r="B259" s="88" t="e">
        <f>COUNTIF(#REF!,"철")</f>
        <v>#REF!</v>
      </c>
      <c r="C259" s="76" t="s">
        <v>5</v>
      </c>
      <c r="D259" s="125" t="e">
        <f>SUMIF(#REF!,"철",#REF!)</f>
        <v>#REF!</v>
      </c>
      <c r="E259" s="88" t="e">
        <f>COUNTIF(#REF!,"철국")</f>
        <v>#REF!</v>
      </c>
      <c r="F259" s="76" t="s">
        <v>5</v>
      </c>
      <c r="G259" s="125" t="e">
        <f>SUMIF(#REF!,"철국",#REF!)</f>
        <v>#REF!</v>
      </c>
      <c r="H259" s="88" t="e">
        <f>COUNTIF(#REF!,"철공")</f>
        <v>#REF!</v>
      </c>
      <c r="I259" s="76" t="s">
        <v>5</v>
      </c>
      <c r="J259" s="125" t="e">
        <f>SUMIF(#REF!,"철공",#REF!)</f>
        <v>#REF!</v>
      </c>
      <c r="K259" s="88" t="e">
        <f t="shared" si="16"/>
        <v>#REF!</v>
      </c>
      <c r="L259" s="76" t="s">
        <v>5</v>
      </c>
      <c r="M259" s="125" t="e">
        <f t="shared" si="17"/>
        <v>#REF!</v>
      </c>
      <c r="N259" s="77"/>
      <c r="O259" s="64"/>
      <c r="P259" s="64"/>
      <c r="Q259" s="64"/>
      <c r="R259" s="64"/>
      <c r="S259" s="64"/>
      <c r="T259" s="64"/>
      <c r="U259" s="64"/>
      <c r="V259" s="64"/>
    </row>
    <row r="260" spans="1:22" s="65" customFormat="1" ht="23.1" hidden="1" customHeight="1">
      <c r="A260" s="75" t="s">
        <v>17</v>
      </c>
      <c r="B260" s="88" t="e">
        <f>COUNTIF(#REF!,"묘")</f>
        <v>#REF!</v>
      </c>
      <c r="C260" s="76" t="s">
        <v>5</v>
      </c>
      <c r="D260" s="125" t="e">
        <f>SUMIF(#REF!,"묘",#REF!)</f>
        <v>#REF!</v>
      </c>
      <c r="E260" s="88" t="e">
        <f>COUNTIF(#REF!,"묘국")</f>
        <v>#REF!</v>
      </c>
      <c r="F260" s="76" t="s">
        <v>5</v>
      </c>
      <c r="G260" s="125" t="e">
        <f>SUMIF(#REF!,"묘국",#REF!)</f>
        <v>#REF!</v>
      </c>
      <c r="H260" s="88" t="e">
        <f>COUNTIF(#REF!,"묘공")</f>
        <v>#REF!</v>
      </c>
      <c r="I260" s="76" t="s">
        <v>5</v>
      </c>
      <c r="J260" s="125" t="e">
        <f>SUMIF(#REF!,"묘공",#REF!)</f>
        <v>#REF!</v>
      </c>
      <c r="K260" s="88" t="e">
        <f t="shared" si="16"/>
        <v>#REF!</v>
      </c>
      <c r="L260" s="76" t="s">
        <v>5</v>
      </c>
      <c r="M260" s="125" t="e">
        <f t="shared" si="17"/>
        <v>#REF!</v>
      </c>
      <c r="N260" s="77"/>
      <c r="O260" s="64"/>
      <c r="P260" s="64"/>
      <c r="Q260" s="64"/>
      <c r="R260" s="64"/>
      <c r="S260" s="64"/>
      <c r="T260" s="64"/>
      <c r="U260" s="64"/>
      <c r="V260" s="64"/>
    </row>
    <row r="261" spans="1:22" s="65" customFormat="1" ht="23.1" hidden="1" customHeight="1">
      <c r="A261" s="75" t="s">
        <v>20</v>
      </c>
      <c r="B261" s="88" t="e">
        <f>COUNTIF(#REF!,"수")</f>
        <v>#REF!</v>
      </c>
      <c r="C261" s="76" t="s">
        <v>5</v>
      </c>
      <c r="D261" s="125" t="e">
        <f>SUMIF(#REF!,"수",#REF!)</f>
        <v>#REF!</v>
      </c>
      <c r="E261" s="88" t="e">
        <f>COUNTIF(#REF!,"수국")</f>
        <v>#REF!</v>
      </c>
      <c r="F261" s="76" t="s">
        <v>5</v>
      </c>
      <c r="G261" s="125" t="e">
        <f>SUMIF(#REF!,"수국",#REF!)</f>
        <v>#REF!</v>
      </c>
      <c r="H261" s="88" t="e">
        <f>COUNTIF(#REF!,"수공")</f>
        <v>#REF!</v>
      </c>
      <c r="I261" s="76" t="s">
        <v>5</v>
      </c>
      <c r="J261" s="125" t="e">
        <f>SUMIF(#REF!,"수공",#REF!)</f>
        <v>#REF!</v>
      </c>
      <c r="K261" s="88" t="e">
        <f t="shared" si="16"/>
        <v>#REF!</v>
      </c>
      <c r="L261" s="76" t="s">
        <v>5</v>
      </c>
      <c r="M261" s="125" t="e">
        <f t="shared" si="17"/>
        <v>#REF!</v>
      </c>
      <c r="N261" s="77"/>
      <c r="O261" s="64"/>
      <c r="P261" s="64"/>
      <c r="Q261" s="64"/>
      <c r="R261" s="64"/>
      <c r="S261" s="64"/>
      <c r="T261" s="64"/>
      <c r="U261" s="64"/>
      <c r="V261" s="64"/>
    </row>
    <row r="262" spans="1:22" s="65" customFormat="1" ht="23.1" hidden="1" customHeight="1">
      <c r="A262" s="75" t="s">
        <v>19</v>
      </c>
      <c r="B262" s="88" t="e">
        <f>COUNTIF(#REF!,"잡")</f>
        <v>#REF!</v>
      </c>
      <c r="C262" s="76" t="s">
        <v>5</v>
      </c>
      <c r="D262" s="125" t="e">
        <f>SUMIF(#REF!,"잡",#REF!)</f>
        <v>#REF!</v>
      </c>
      <c r="E262" s="88" t="e">
        <f>COUNTIF(#REF!,"잡국")</f>
        <v>#REF!</v>
      </c>
      <c r="F262" s="76" t="s">
        <v>5</v>
      </c>
      <c r="G262" s="125" t="e">
        <f>SUMIF(#REF!,"잡국",#REF!)</f>
        <v>#REF!</v>
      </c>
      <c r="H262" s="88" t="e">
        <f>COUNTIF(#REF!,"잡공")</f>
        <v>#REF!</v>
      </c>
      <c r="I262" s="76" t="s">
        <v>5</v>
      </c>
      <c r="J262" s="125" t="e">
        <f>SUMIF(#REF!,"잡공",#REF!)</f>
        <v>#REF!</v>
      </c>
      <c r="K262" s="88" t="e">
        <f t="shared" si="16"/>
        <v>#REF!</v>
      </c>
      <c r="L262" s="76" t="s">
        <v>5</v>
      </c>
      <c r="M262" s="125" t="e">
        <f t="shared" si="17"/>
        <v>#REF!</v>
      </c>
      <c r="N262" s="77"/>
      <c r="O262" s="64"/>
      <c r="P262" s="64"/>
      <c r="Q262" s="64"/>
      <c r="R262" s="64"/>
      <c r="S262" s="64"/>
      <c r="T262" s="64"/>
      <c r="U262" s="64"/>
      <c r="V262" s="64"/>
    </row>
    <row r="263" spans="1:22" s="65" customFormat="1" ht="23.1" hidden="1" customHeight="1">
      <c r="A263" s="75" t="s">
        <v>42</v>
      </c>
      <c r="B263" s="88" t="e">
        <f>COUNTIF(#REF!,"종")</f>
        <v>#REF!</v>
      </c>
      <c r="C263" s="76" t="s">
        <v>5</v>
      </c>
      <c r="D263" s="125" t="e">
        <f>SUMIF(#REF!,"종",#REF!)</f>
        <v>#REF!</v>
      </c>
      <c r="E263" s="88" t="e">
        <f>COUNTIF(#REF!,"종국")</f>
        <v>#REF!</v>
      </c>
      <c r="F263" s="76" t="s">
        <v>5</v>
      </c>
      <c r="G263" s="125" t="e">
        <f>SUMIF(#REF!,"종국",#REF!)</f>
        <v>#REF!</v>
      </c>
      <c r="H263" s="88" t="e">
        <f>COUNTIF(#REF!,"종공")</f>
        <v>#REF!</v>
      </c>
      <c r="I263" s="76" t="s">
        <v>5</v>
      </c>
      <c r="J263" s="125" t="e">
        <f>SUMIF(#REF!,"종공",#REF!)</f>
        <v>#REF!</v>
      </c>
      <c r="K263" s="88" t="e">
        <f t="shared" si="16"/>
        <v>#REF!</v>
      </c>
      <c r="L263" s="76" t="s">
        <v>5</v>
      </c>
      <c r="M263" s="125" t="e">
        <f t="shared" si="17"/>
        <v>#REF!</v>
      </c>
      <c r="N263" s="77"/>
      <c r="O263" s="64"/>
      <c r="P263" s="64"/>
      <c r="Q263" s="64"/>
      <c r="R263" s="64"/>
      <c r="S263" s="64"/>
      <c r="T263" s="64"/>
      <c r="U263" s="64"/>
      <c r="V263" s="64"/>
    </row>
    <row r="264" spans="1:22" s="65" customFormat="1" ht="23.1" hidden="1" customHeight="1">
      <c r="A264" s="79" t="s">
        <v>43</v>
      </c>
      <c r="B264" s="88" t="e">
        <f>COUNTIF(#REF!,"염")</f>
        <v>#REF!</v>
      </c>
      <c r="C264" s="76" t="s">
        <v>5</v>
      </c>
      <c r="D264" s="125" t="e">
        <f>SUMIF(#REF!,"염",#REF!)</f>
        <v>#REF!</v>
      </c>
      <c r="E264" s="88" t="e">
        <f>COUNTIF(#REF!,"염국")</f>
        <v>#REF!</v>
      </c>
      <c r="F264" s="76" t="s">
        <v>5</v>
      </c>
      <c r="G264" s="125" t="e">
        <f>SUMIF(#REF!,"염국",#REF!)</f>
        <v>#REF!</v>
      </c>
      <c r="H264" s="88" t="e">
        <f>COUNTIF(#REF!,"염공")</f>
        <v>#REF!</v>
      </c>
      <c r="I264" s="76" t="s">
        <v>5</v>
      </c>
      <c r="J264" s="125" t="e">
        <f>SUMIF(#REF!,"염공",#REF!)</f>
        <v>#REF!</v>
      </c>
      <c r="K264" s="88" t="e">
        <f t="shared" si="16"/>
        <v>#REF!</v>
      </c>
      <c r="L264" s="76" t="s">
        <v>5</v>
      </c>
      <c r="M264" s="125" t="e">
        <f t="shared" si="17"/>
        <v>#REF!</v>
      </c>
      <c r="N264" s="77"/>
      <c r="O264" s="64"/>
      <c r="P264" s="64"/>
      <c r="Q264" s="64"/>
      <c r="R264" s="64"/>
      <c r="S264" s="64"/>
      <c r="T264" s="64"/>
      <c r="U264" s="64"/>
      <c r="V264" s="64"/>
    </row>
    <row r="265" spans="1:22" s="65" customFormat="1" ht="23.1" hidden="1" customHeight="1">
      <c r="A265" s="79" t="s">
        <v>44</v>
      </c>
      <c r="B265" s="88" t="e">
        <f>COUNTIF(#REF!,"공")</f>
        <v>#REF!</v>
      </c>
      <c r="C265" s="76" t="s">
        <v>5</v>
      </c>
      <c r="D265" s="125" t="e">
        <f>SUMIF(#REF!,"공",#REF!)</f>
        <v>#REF!</v>
      </c>
      <c r="E265" s="88" t="e">
        <f>COUNTIF(#REF!,"공국")</f>
        <v>#REF!</v>
      </c>
      <c r="F265" s="76" t="s">
        <v>5</v>
      </c>
      <c r="G265" s="125" t="e">
        <f>SUMIF(#REF!,"공국",#REF!)</f>
        <v>#REF!</v>
      </c>
      <c r="H265" s="88" t="e">
        <f>COUNTIF(#REF!,"공공")</f>
        <v>#REF!</v>
      </c>
      <c r="I265" s="76" t="s">
        <v>5</v>
      </c>
      <c r="J265" s="125" t="e">
        <f>SUMIF(#REF!,"공공",#REF!)</f>
        <v>#REF!</v>
      </c>
      <c r="K265" s="88" t="e">
        <f t="shared" si="16"/>
        <v>#REF!</v>
      </c>
      <c r="L265" s="76" t="s">
        <v>5</v>
      </c>
      <c r="M265" s="125" t="e">
        <f t="shared" si="17"/>
        <v>#REF!</v>
      </c>
      <c r="N265" s="77"/>
      <c r="O265" s="64"/>
      <c r="P265" s="64"/>
      <c r="Q265" s="64"/>
      <c r="R265" s="64"/>
      <c r="S265" s="64"/>
      <c r="T265" s="64"/>
      <c r="U265" s="64"/>
      <c r="V265" s="64"/>
    </row>
    <row r="266" spans="1:22" s="65" customFormat="1" ht="23.1" hidden="1" customHeight="1">
      <c r="A266" s="79" t="s">
        <v>45</v>
      </c>
      <c r="B266" s="88" t="e">
        <f>COUNTIF(#REF!,"체")</f>
        <v>#REF!</v>
      </c>
      <c r="C266" s="76" t="s">
        <v>5</v>
      </c>
      <c r="D266" s="125" t="e">
        <f>SUMIF(#REF!,"체",#REF!)</f>
        <v>#REF!</v>
      </c>
      <c r="E266" s="88" t="e">
        <f>COUNTIF(#REF!,"체국")</f>
        <v>#REF!</v>
      </c>
      <c r="F266" s="76" t="s">
        <v>5</v>
      </c>
      <c r="G266" s="125" t="e">
        <f>SUMIF(#REF!,"체국",#REF!)</f>
        <v>#REF!</v>
      </c>
      <c r="H266" s="88" t="e">
        <f>COUNTIF(#REF!,"체공")</f>
        <v>#REF!</v>
      </c>
      <c r="I266" s="76" t="s">
        <v>5</v>
      </c>
      <c r="J266" s="125" t="e">
        <f>SUMIF(#REF!,"체공",#REF!)</f>
        <v>#REF!</v>
      </c>
      <c r="K266" s="88" t="e">
        <f t="shared" si="16"/>
        <v>#REF!</v>
      </c>
      <c r="L266" s="76" t="s">
        <v>5</v>
      </c>
      <c r="M266" s="125" t="e">
        <f t="shared" si="17"/>
        <v>#REF!</v>
      </c>
      <c r="N266" s="77"/>
      <c r="O266" s="64"/>
      <c r="P266" s="64"/>
      <c r="Q266" s="64"/>
      <c r="R266" s="64"/>
      <c r="S266" s="64"/>
      <c r="T266" s="64"/>
      <c r="U266" s="64"/>
      <c r="V266" s="64"/>
    </row>
    <row r="267" spans="1:22" s="65" customFormat="1" ht="23.1" hidden="1" customHeight="1">
      <c r="A267" s="79" t="s">
        <v>46</v>
      </c>
      <c r="B267" s="88" t="e">
        <f>COUNTIF(#REF!,"원")</f>
        <v>#REF!</v>
      </c>
      <c r="C267" s="76" t="s">
        <v>5</v>
      </c>
      <c r="D267" s="125" t="e">
        <f>SUMIF(#REF!,"원",#REF!)</f>
        <v>#REF!</v>
      </c>
      <c r="E267" s="88" t="e">
        <f>COUNTIF(#REF!,"원국")</f>
        <v>#REF!</v>
      </c>
      <c r="F267" s="76" t="s">
        <v>5</v>
      </c>
      <c r="G267" s="125" t="e">
        <f>SUMIF(#REF!,"원국",#REF!)</f>
        <v>#REF!</v>
      </c>
      <c r="H267" s="88" t="e">
        <f>COUNTIF(#REF!,"원공")</f>
        <v>#REF!</v>
      </c>
      <c r="I267" s="76" t="s">
        <v>5</v>
      </c>
      <c r="J267" s="125" t="e">
        <f>SUMIF(#REF!,"원공",#REF!)</f>
        <v>#REF!</v>
      </c>
      <c r="K267" s="88" t="e">
        <f t="shared" si="16"/>
        <v>#REF!</v>
      </c>
      <c r="L267" s="76" t="s">
        <v>5</v>
      </c>
      <c r="M267" s="125" t="e">
        <f t="shared" si="17"/>
        <v>#REF!</v>
      </c>
      <c r="N267" s="77"/>
      <c r="O267" s="64"/>
      <c r="P267" s="64"/>
      <c r="Q267" s="64"/>
      <c r="R267" s="64"/>
      <c r="S267" s="64"/>
      <c r="T267" s="64"/>
      <c r="U267" s="64"/>
      <c r="V267" s="64"/>
    </row>
    <row r="268" spans="1:22" s="65" customFormat="1" ht="23.1" hidden="1" customHeight="1">
      <c r="A268" s="79" t="s">
        <v>56</v>
      </c>
      <c r="B268" s="88" t="e">
        <f>COUNTIF(#REF!,"주")</f>
        <v>#REF!</v>
      </c>
      <c r="C268" s="76" t="s">
        <v>5</v>
      </c>
      <c r="D268" s="125" t="e">
        <f>SUMIF(#REF!,"주",#REF!)</f>
        <v>#REF!</v>
      </c>
      <c r="E268" s="88" t="e">
        <f>COUNTIF(#REF!,"주국")</f>
        <v>#REF!</v>
      </c>
      <c r="F268" s="76" t="s">
        <v>5</v>
      </c>
      <c r="G268" s="125" t="e">
        <f>SUMIF(#REF!,"주국",#REF!)</f>
        <v>#REF!</v>
      </c>
      <c r="H268" s="88" t="e">
        <f>COUNTIF(#REF!,"주공")</f>
        <v>#REF!</v>
      </c>
      <c r="I268" s="76" t="s">
        <v>5</v>
      </c>
      <c r="J268" s="125" t="e">
        <f>SUMIF(#REF!,"주공",#REF!)</f>
        <v>#REF!</v>
      </c>
      <c r="K268" s="88" t="e">
        <f t="shared" si="16"/>
        <v>#REF!</v>
      </c>
      <c r="L268" s="76" t="s">
        <v>5</v>
      </c>
      <c r="M268" s="125" t="e">
        <f t="shared" si="17"/>
        <v>#REF!</v>
      </c>
      <c r="N268" s="77"/>
      <c r="O268" s="64"/>
      <c r="P268" s="64"/>
      <c r="Q268" s="64"/>
      <c r="R268" s="64"/>
      <c r="S268" s="64"/>
      <c r="T268" s="64"/>
      <c r="U268" s="64"/>
      <c r="V268" s="64"/>
    </row>
    <row r="269" spans="1:22" s="65" customFormat="1" ht="23.1" hidden="1" customHeight="1">
      <c r="A269" s="79" t="s">
        <v>57</v>
      </c>
      <c r="B269" s="88" t="e">
        <f>COUNTIF(#REF!,"창")</f>
        <v>#REF!</v>
      </c>
      <c r="C269" s="76" t="s">
        <v>5</v>
      </c>
      <c r="D269" s="125" t="e">
        <f>SUMIF(#REF!,"창",#REF!)</f>
        <v>#REF!</v>
      </c>
      <c r="E269" s="88" t="e">
        <f>COUNTIF(#REF!,"창국")</f>
        <v>#REF!</v>
      </c>
      <c r="F269" s="76" t="s">
        <v>5</v>
      </c>
      <c r="G269" s="125" t="e">
        <f>SUMIF(#REF!,"창국",#REF!)</f>
        <v>#REF!</v>
      </c>
      <c r="H269" s="88" t="e">
        <f>COUNTIF(#REF!,"창공")</f>
        <v>#REF!</v>
      </c>
      <c r="I269" s="76" t="s">
        <v>5</v>
      </c>
      <c r="J269" s="125" t="e">
        <f>SUMIF(#REF!,"창공",#REF!)</f>
        <v>#REF!</v>
      </c>
      <c r="K269" s="88" t="e">
        <f t="shared" si="16"/>
        <v>#REF!</v>
      </c>
      <c r="L269" s="76" t="s">
        <v>5</v>
      </c>
      <c r="M269" s="125" t="e">
        <f t="shared" si="17"/>
        <v>#REF!</v>
      </c>
      <c r="N269" s="77"/>
      <c r="O269" s="64"/>
      <c r="P269" s="64"/>
      <c r="Q269" s="64"/>
      <c r="R269" s="64"/>
      <c r="S269" s="64"/>
      <c r="T269" s="64"/>
      <c r="U269" s="64"/>
      <c r="V269" s="64"/>
    </row>
    <row r="270" spans="1:22" s="65" customFormat="1" ht="23.1" hidden="1" customHeight="1">
      <c r="A270" s="80" t="s">
        <v>24</v>
      </c>
      <c r="B270" s="89" t="e">
        <f>COUNTIF(#REF!," ")</f>
        <v>#REF!</v>
      </c>
      <c r="C270" s="81" t="s">
        <v>5</v>
      </c>
      <c r="D270" s="126" t="e">
        <f>SUMIF(#REF!," ",#REF!)</f>
        <v>#REF!</v>
      </c>
      <c r="E270" s="89" t="e">
        <f>COUNTIF(#REF!," 국")</f>
        <v>#REF!</v>
      </c>
      <c r="F270" s="81" t="s">
        <v>5</v>
      </c>
      <c r="G270" s="126" t="e">
        <f>SUMIF(#REF!," 국",#REF!)</f>
        <v>#REF!</v>
      </c>
      <c r="H270" s="89" t="e">
        <f>COUNTIF(#REF!," 공")</f>
        <v>#REF!</v>
      </c>
      <c r="I270" s="81" t="s">
        <v>5</v>
      </c>
      <c r="J270" s="126" t="e">
        <f>SUMIF(#REF!," 공",#REF!)</f>
        <v>#REF!</v>
      </c>
      <c r="K270" s="89" t="e">
        <f t="shared" si="16"/>
        <v>#REF!</v>
      </c>
      <c r="L270" s="81" t="s">
        <v>5</v>
      </c>
      <c r="M270" s="126" t="e">
        <f t="shared" si="17"/>
        <v>#REF!</v>
      </c>
      <c r="N270" s="82"/>
      <c r="O270" s="64"/>
      <c r="P270" s="64"/>
      <c r="Q270" s="64"/>
      <c r="R270" s="64"/>
      <c r="S270" s="64"/>
      <c r="T270" s="64"/>
      <c r="U270" s="64"/>
      <c r="V270" s="64"/>
    </row>
    <row r="271" spans="1:22" hidden="1">
      <c r="N271" s="83"/>
    </row>
    <row r="272" spans="1:22" hidden="1">
      <c r="N272" s="83"/>
    </row>
    <row r="273" spans="1:14" hidden="1">
      <c r="N273" s="83"/>
    </row>
    <row r="274" spans="1:14" hidden="1">
      <c r="N274" s="83"/>
    </row>
    <row r="275" spans="1:14" hidden="1">
      <c r="N275" s="83"/>
    </row>
    <row r="276" spans="1:14" hidden="1">
      <c r="A276" s="84"/>
      <c r="B276" s="85"/>
      <c r="C276" s="85"/>
      <c r="D276" s="129"/>
      <c r="E276" s="85"/>
      <c r="F276" s="85"/>
      <c r="G276" s="129"/>
      <c r="H276" s="85"/>
      <c r="I276" s="85"/>
      <c r="J276" s="129"/>
      <c r="K276" s="85"/>
      <c r="L276" s="85"/>
      <c r="M276" s="129"/>
      <c r="N276" s="85"/>
    </row>
    <row r="277" spans="1:14" hidden="1">
      <c r="A277" s="84"/>
      <c r="B277" s="85"/>
      <c r="C277" s="85"/>
      <c r="D277" s="129"/>
      <c r="E277" s="85"/>
      <c r="F277" s="85"/>
      <c r="G277" s="129"/>
      <c r="H277" s="85"/>
      <c r="I277" s="85"/>
      <c r="J277" s="129"/>
      <c r="K277" s="85"/>
      <c r="L277" s="85"/>
      <c r="M277" s="129"/>
      <c r="N277" s="85"/>
    </row>
    <row r="278" spans="1:14" hidden="1">
      <c r="A278" s="84"/>
      <c r="B278" s="85"/>
      <c r="C278" s="85"/>
      <c r="D278" s="129"/>
      <c r="E278" s="85"/>
      <c r="F278" s="85"/>
      <c r="G278" s="129"/>
      <c r="H278" s="85"/>
      <c r="I278" s="85"/>
      <c r="J278" s="129"/>
      <c r="K278" s="85"/>
      <c r="L278" s="85"/>
      <c r="M278" s="129"/>
      <c r="N278" s="85"/>
    </row>
    <row r="279" spans="1:14" hidden="1">
      <c r="A279" s="84"/>
      <c r="B279" s="85"/>
      <c r="C279" s="85"/>
      <c r="D279" s="129"/>
      <c r="E279" s="85"/>
      <c r="F279" s="85"/>
      <c r="G279" s="129"/>
      <c r="H279" s="85"/>
      <c r="I279" s="85"/>
      <c r="J279" s="129"/>
      <c r="K279" s="85"/>
      <c r="L279" s="85"/>
      <c r="M279" s="129"/>
      <c r="N279" s="85"/>
    </row>
    <row r="280" spans="1:14" hidden="1">
      <c r="A280" s="84"/>
      <c r="B280" s="85"/>
      <c r="C280" s="85"/>
      <c r="D280" s="129"/>
      <c r="E280" s="85"/>
      <c r="F280" s="85"/>
      <c r="G280" s="129"/>
      <c r="H280" s="85"/>
      <c r="I280" s="85"/>
      <c r="J280" s="129"/>
      <c r="K280" s="85"/>
      <c r="L280" s="85"/>
      <c r="M280" s="129"/>
      <c r="N280" s="85"/>
    </row>
    <row r="281" spans="1:14" hidden="1">
      <c r="A281" s="84"/>
      <c r="B281" s="85"/>
      <c r="C281" s="85"/>
      <c r="D281" s="129"/>
      <c r="E281" s="85"/>
      <c r="F281" s="85"/>
      <c r="G281" s="129"/>
      <c r="H281" s="85"/>
      <c r="I281" s="85"/>
      <c r="J281" s="129"/>
      <c r="K281" s="85"/>
      <c r="L281" s="85"/>
      <c r="M281" s="129"/>
      <c r="N281" s="85"/>
    </row>
    <row r="282" spans="1:14" hidden="1">
      <c r="A282" s="84"/>
      <c r="B282" s="85"/>
      <c r="C282" s="85"/>
      <c r="D282" s="129"/>
      <c r="E282" s="85"/>
      <c r="F282" s="85"/>
      <c r="G282" s="129"/>
      <c r="H282" s="85"/>
      <c r="I282" s="85"/>
      <c r="J282" s="129"/>
      <c r="K282" s="85"/>
      <c r="L282" s="85"/>
      <c r="M282" s="129"/>
      <c r="N282" s="85"/>
    </row>
    <row r="283" spans="1:14" hidden="1">
      <c r="A283" s="84"/>
      <c r="B283" s="85"/>
      <c r="C283" s="85"/>
      <c r="D283" s="129"/>
      <c r="E283" s="85"/>
      <c r="F283" s="85"/>
      <c r="G283" s="129"/>
      <c r="H283" s="85"/>
      <c r="I283" s="85"/>
      <c r="J283" s="129"/>
      <c r="K283" s="85"/>
      <c r="L283" s="85"/>
      <c r="M283" s="129"/>
      <c r="N283" s="85"/>
    </row>
    <row r="284" spans="1:14" hidden="1">
      <c r="A284" s="84"/>
      <c r="B284" s="85"/>
      <c r="C284" s="85"/>
      <c r="D284" s="129"/>
      <c r="E284" s="85"/>
      <c r="F284" s="85"/>
      <c r="G284" s="129"/>
      <c r="H284" s="85"/>
      <c r="I284" s="85"/>
      <c r="J284" s="129"/>
      <c r="K284" s="85"/>
      <c r="L284" s="85"/>
      <c r="M284" s="129"/>
      <c r="N284" s="85"/>
    </row>
    <row r="285" spans="1:14" hidden="1">
      <c r="A285" s="84"/>
      <c r="B285" s="85"/>
      <c r="C285" s="85"/>
      <c r="D285" s="129"/>
      <c r="E285" s="85"/>
      <c r="F285" s="85"/>
      <c r="G285" s="129"/>
      <c r="H285" s="85"/>
      <c r="I285" s="85"/>
      <c r="J285" s="129"/>
      <c r="K285" s="85"/>
      <c r="L285" s="85"/>
      <c r="M285" s="129"/>
      <c r="N285" s="85"/>
    </row>
    <row r="286" spans="1:14" hidden="1">
      <c r="A286" s="84"/>
      <c r="B286" s="85"/>
      <c r="C286" s="85"/>
      <c r="D286" s="129"/>
      <c r="E286" s="85"/>
      <c r="F286" s="85"/>
      <c r="G286" s="129"/>
      <c r="H286" s="85"/>
      <c r="I286" s="85"/>
      <c r="J286" s="129"/>
      <c r="K286" s="85"/>
      <c r="L286" s="85"/>
      <c r="M286" s="129"/>
      <c r="N286" s="85"/>
    </row>
    <row r="287" spans="1:14" hidden="1">
      <c r="A287" s="84"/>
      <c r="B287" s="85"/>
      <c r="C287" s="85"/>
      <c r="D287" s="129"/>
      <c r="E287" s="85"/>
      <c r="F287" s="85"/>
      <c r="G287" s="129"/>
      <c r="H287" s="85"/>
      <c r="I287" s="85"/>
      <c r="J287" s="129"/>
      <c r="K287" s="85"/>
      <c r="L287" s="85"/>
      <c r="M287" s="129"/>
      <c r="N287" s="85"/>
    </row>
    <row r="288" spans="1:14" hidden="1">
      <c r="A288" s="84"/>
      <c r="B288" s="85"/>
      <c r="C288" s="85"/>
      <c r="D288" s="129"/>
      <c r="E288" s="85"/>
      <c r="F288" s="85"/>
      <c r="G288" s="129"/>
      <c r="H288" s="85"/>
      <c r="I288" s="85"/>
      <c r="J288" s="129"/>
      <c r="K288" s="85"/>
      <c r="L288" s="85"/>
      <c r="M288" s="129"/>
      <c r="N288" s="85"/>
    </row>
    <row r="289" spans="1:14" hidden="1">
      <c r="A289" s="84"/>
      <c r="B289" s="85"/>
      <c r="C289" s="85"/>
      <c r="D289" s="129"/>
      <c r="E289" s="85"/>
      <c r="F289" s="85"/>
      <c r="G289" s="129"/>
      <c r="H289" s="85"/>
      <c r="I289" s="85"/>
      <c r="J289" s="129"/>
      <c r="K289" s="85"/>
      <c r="L289" s="85"/>
      <c r="M289" s="129"/>
      <c r="N289" s="85"/>
    </row>
    <row r="290" spans="1:14" hidden="1">
      <c r="A290" s="84"/>
      <c r="B290" s="85"/>
      <c r="C290" s="85"/>
      <c r="D290" s="129"/>
      <c r="E290" s="85"/>
      <c r="F290" s="85"/>
      <c r="G290" s="129"/>
      <c r="H290" s="85"/>
      <c r="I290" s="85"/>
      <c r="J290" s="129"/>
      <c r="K290" s="85"/>
      <c r="L290" s="85"/>
      <c r="M290" s="129"/>
      <c r="N290" s="85"/>
    </row>
    <row r="291" spans="1:14" hidden="1">
      <c r="N291" s="83"/>
    </row>
    <row r="292" spans="1:14" hidden="1">
      <c r="N292" s="83"/>
    </row>
    <row r="293" spans="1:14" hidden="1">
      <c r="N293" s="83"/>
    </row>
    <row r="294" spans="1:14" hidden="1">
      <c r="N294" s="83"/>
    </row>
    <row r="295" spans="1:14" hidden="1">
      <c r="N295" s="83"/>
    </row>
    <row r="296" spans="1:14" hidden="1">
      <c r="N296" s="83"/>
    </row>
    <row r="297" spans="1:14" hidden="1">
      <c r="A297" s="84"/>
      <c r="B297" s="85"/>
      <c r="C297" s="85"/>
      <c r="D297" s="129"/>
      <c r="E297" s="85"/>
      <c r="F297" s="85"/>
      <c r="G297" s="129"/>
      <c r="H297" s="85"/>
      <c r="I297" s="85"/>
      <c r="J297" s="129"/>
      <c r="K297" s="85"/>
      <c r="L297" s="85"/>
      <c r="M297" s="129"/>
      <c r="N297" s="85"/>
    </row>
    <row r="298" spans="1:14" hidden="1">
      <c r="A298" s="84"/>
      <c r="B298" s="85"/>
      <c r="C298" s="85"/>
      <c r="D298" s="129"/>
      <c r="E298" s="85"/>
      <c r="F298" s="85"/>
      <c r="G298" s="129"/>
      <c r="H298" s="85"/>
      <c r="I298" s="85"/>
      <c r="J298" s="129"/>
      <c r="K298" s="85"/>
      <c r="L298" s="85"/>
      <c r="M298" s="129"/>
      <c r="N298" s="85"/>
    </row>
    <row r="299" spans="1:14" hidden="1">
      <c r="A299" s="84"/>
      <c r="B299" s="85"/>
      <c r="C299" s="85"/>
      <c r="D299" s="129"/>
      <c r="E299" s="85"/>
      <c r="F299" s="85"/>
      <c r="G299" s="129"/>
      <c r="H299" s="85"/>
      <c r="I299" s="85"/>
      <c r="J299" s="129"/>
      <c r="K299" s="85"/>
      <c r="L299" s="85"/>
      <c r="M299" s="129"/>
      <c r="N299" s="85"/>
    </row>
    <row r="300" spans="1:14" hidden="1">
      <c r="A300" s="84"/>
      <c r="B300" s="85"/>
      <c r="C300" s="85"/>
      <c r="D300" s="129"/>
      <c r="E300" s="85"/>
      <c r="F300" s="85"/>
      <c r="G300" s="129"/>
      <c r="H300" s="85"/>
      <c r="I300" s="85"/>
      <c r="J300" s="129"/>
      <c r="K300" s="85"/>
      <c r="L300" s="85"/>
      <c r="M300" s="129"/>
      <c r="N300" s="85"/>
    </row>
    <row r="301" spans="1:14" hidden="1">
      <c r="A301" s="84"/>
      <c r="B301" s="85"/>
      <c r="C301" s="85"/>
      <c r="D301" s="129"/>
      <c r="E301" s="85"/>
      <c r="F301" s="85"/>
      <c r="G301" s="129"/>
      <c r="H301" s="85"/>
      <c r="I301" s="85"/>
      <c r="J301" s="129"/>
      <c r="K301" s="85"/>
      <c r="L301" s="85"/>
      <c r="M301" s="129"/>
      <c r="N301" s="85"/>
    </row>
    <row r="302" spans="1:14" hidden="1">
      <c r="A302" s="84"/>
      <c r="B302" s="85"/>
      <c r="C302" s="85"/>
      <c r="D302" s="129"/>
      <c r="E302" s="85"/>
      <c r="F302" s="85"/>
      <c r="G302" s="129"/>
      <c r="H302" s="85"/>
      <c r="I302" s="85"/>
      <c r="J302" s="129"/>
      <c r="K302" s="85"/>
      <c r="L302" s="85"/>
      <c r="M302" s="129"/>
      <c r="N302" s="85"/>
    </row>
    <row r="303" spans="1:14" hidden="1">
      <c r="A303" s="84"/>
      <c r="B303" s="85"/>
      <c r="C303" s="85"/>
      <c r="D303" s="129"/>
      <c r="E303" s="85"/>
      <c r="F303" s="85"/>
      <c r="G303" s="129"/>
      <c r="H303" s="85"/>
      <c r="I303" s="85"/>
      <c r="J303" s="129"/>
      <c r="K303" s="85"/>
      <c r="L303" s="85"/>
      <c r="M303" s="129"/>
      <c r="N303" s="85"/>
    </row>
    <row r="304" spans="1:14" hidden="1">
      <c r="A304" s="84"/>
      <c r="B304" s="85"/>
      <c r="C304" s="85"/>
      <c r="D304" s="129"/>
      <c r="E304" s="85"/>
      <c r="F304" s="85"/>
      <c r="G304" s="129"/>
      <c r="H304" s="85"/>
      <c r="I304" s="85"/>
      <c r="J304" s="129"/>
      <c r="K304" s="85"/>
      <c r="L304" s="85"/>
      <c r="M304" s="129"/>
      <c r="N304" s="85"/>
    </row>
    <row r="305" spans="1:14" hidden="1">
      <c r="A305" s="84"/>
      <c r="B305" s="85"/>
      <c r="C305" s="85"/>
      <c r="D305" s="129"/>
      <c r="E305" s="85"/>
      <c r="F305" s="85"/>
      <c r="G305" s="129"/>
      <c r="H305" s="85"/>
      <c r="I305" s="85"/>
      <c r="J305" s="129"/>
      <c r="K305" s="85"/>
      <c r="L305" s="85"/>
      <c r="M305" s="129"/>
      <c r="N305" s="85"/>
    </row>
    <row r="306" spans="1:14" hidden="1">
      <c r="A306" s="84"/>
      <c r="B306" s="85"/>
      <c r="C306" s="85"/>
      <c r="D306" s="129"/>
      <c r="E306" s="85"/>
      <c r="F306" s="85"/>
      <c r="G306" s="129"/>
      <c r="H306" s="85"/>
      <c r="I306" s="85"/>
      <c r="J306" s="129"/>
      <c r="K306" s="85"/>
      <c r="L306" s="85"/>
      <c r="M306" s="129"/>
      <c r="N306" s="85"/>
    </row>
    <row r="307" spans="1:14" hidden="1">
      <c r="A307" s="84"/>
      <c r="B307" s="85"/>
      <c r="C307" s="85"/>
      <c r="D307" s="129"/>
      <c r="E307" s="85"/>
      <c r="F307" s="85"/>
      <c r="G307" s="129"/>
      <c r="H307" s="85"/>
      <c r="I307" s="85"/>
      <c r="J307" s="129"/>
      <c r="K307" s="85"/>
      <c r="L307" s="85"/>
      <c r="M307" s="129"/>
      <c r="N307" s="85"/>
    </row>
    <row r="308" spans="1:14" hidden="1">
      <c r="A308" s="84"/>
      <c r="B308" s="85"/>
      <c r="C308" s="85"/>
      <c r="D308" s="129"/>
      <c r="E308" s="85"/>
      <c r="F308" s="85"/>
      <c r="G308" s="129"/>
      <c r="H308" s="85"/>
      <c r="I308" s="85"/>
      <c r="J308" s="129"/>
      <c r="K308" s="85"/>
      <c r="L308" s="85"/>
      <c r="M308" s="129"/>
      <c r="N308" s="85"/>
    </row>
    <row r="309" spans="1:14" hidden="1">
      <c r="A309" s="84"/>
      <c r="B309" s="85"/>
      <c r="C309" s="85"/>
      <c r="D309" s="129"/>
      <c r="E309" s="85"/>
      <c r="F309" s="85"/>
      <c r="G309" s="129"/>
      <c r="H309" s="85"/>
      <c r="I309" s="85"/>
      <c r="J309" s="129"/>
      <c r="K309" s="85"/>
      <c r="L309" s="85"/>
      <c r="M309" s="129"/>
      <c r="N309" s="85"/>
    </row>
    <row r="310" spans="1:14" hidden="1">
      <c r="A310" s="84"/>
      <c r="B310" s="85"/>
      <c r="C310" s="85"/>
      <c r="D310" s="129"/>
      <c r="E310" s="85"/>
      <c r="F310" s="85"/>
      <c r="G310" s="129"/>
      <c r="H310" s="85"/>
      <c r="I310" s="85"/>
      <c r="J310" s="129"/>
      <c r="K310" s="85"/>
      <c r="L310" s="85"/>
      <c r="M310" s="129"/>
      <c r="N310" s="85"/>
    </row>
    <row r="311" spans="1:14" hidden="1">
      <c r="A311" s="84"/>
      <c r="B311" s="85"/>
      <c r="C311" s="85"/>
      <c r="D311" s="129"/>
      <c r="E311" s="85"/>
      <c r="F311" s="85"/>
      <c r="G311" s="129"/>
      <c r="H311" s="85"/>
      <c r="I311" s="85"/>
      <c r="J311" s="129"/>
      <c r="K311" s="85"/>
      <c r="L311" s="85"/>
      <c r="M311" s="129"/>
      <c r="N311" s="85"/>
    </row>
    <row r="312" spans="1:14" hidden="1">
      <c r="N312" s="83"/>
    </row>
    <row r="313" spans="1:14" hidden="1">
      <c r="N313" s="83"/>
    </row>
    <row r="314" spans="1:14" hidden="1">
      <c r="N314" s="83"/>
    </row>
    <row r="315" spans="1:14" hidden="1">
      <c r="N315" s="83"/>
    </row>
    <row r="316" spans="1:14" hidden="1">
      <c r="N316" s="83"/>
    </row>
    <row r="317" spans="1:14" hidden="1">
      <c r="N317" s="83"/>
    </row>
    <row r="318" spans="1:14" hidden="1">
      <c r="A318" s="84"/>
      <c r="B318" s="85"/>
      <c r="C318" s="85"/>
      <c r="D318" s="129"/>
      <c r="E318" s="85"/>
      <c r="F318" s="85"/>
      <c r="G318" s="129"/>
      <c r="H318" s="85"/>
      <c r="I318" s="85"/>
      <c r="J318" s="129"/>
      <c r="K318" s="85"/>
      <c r="L318" s="85"/>
      <c r="M318" s="129"/>
      <c r="N318" s="85"/>
    </row>
    <row r="319" spans="1:14" hidden="1">
      <c r="A319" s="84"/>
      <c r="B319" s="85"/>
      <c r="C319" s="85"/>
      <c r="D319" s="129"/>
      <c r="E319" s="85"/>
      <c r="F319" s="85"/>
      <c r="G319" s="129"/>
      <c r="H319" s="85"/>
      <c r="I319" s="85"/>
      <c r="J319" s="129"/>
      <c r="K319" s="85"/>
      <c r="L319" s="85"/>
      <c r="M319" s="129"/>
      <c r="N319" s="85"/>
    </row>
    <row r="320" spans="1:14" hidden="1">
      <c r="A320" s="84"/>
      <c r="B320" s="85"/>
      <c r="C320" s="85"/>
      <c r="D320" s="129"/>
      <c r="E320" s="85"/>
      <c r="F320" s="85"/>
      <c r="G320" s="129"/>
      <c r="H320" s="85"/>
      <c r="I320" s="85"/>
      <c r="J320" s="129"/>
      <c r="K320" s="85"/>
      <c r="L320" s="85"/>
      <c r="M320" s="129"/>
      <c r="N320" s="85"/>
    </row>
    <row r="321" spans="1:14" hidden="1">
      <c r="A321" s="84"/>
      <c r="B321" s="85"/>
      <c r="C321" s="85"/>
      <c r="D321" s="129"/>
      <c r="E321" s="85"/>
      <c r="F321" s="85"/>
      <c r="G321" s="129"/>
      <c r="H321" s="85"/>
      <c r="I321" s="85"/>
      <c r="J321" s="129"/>
      <c r="K321" s="85"/>
      <c r="L321" s="85"/>
      <c r="M321" s="129"/>
      <c r="N321" s="85"/>
    </row>
    <row r="322" spans="1:14" hidden="1">
      <c r="A322" s="84"/>
      <c r="B322" s="85"/>
      <c r="C322" s="85"/>
      <c r="D322" s="129"/>
      <c r="E322" s="85"/>
      <c r="F322" s="85"/>
      <c r="G322" s="129"/>
      <c r="H322" s="85"/>
      <c r="I322" s="85"/>
      <c r="J322" s="129"/>
      <c r="K322" s="85"/>
      <c r="L322" s="85"/>
      <c r="M322" s="129"/>
      <c r="N322" s="85"/>
    </row>
    <row r="323" spans="1:14" hidden="1">
      <c r="A323" s="84"/>
      <c r="B323" s="85"/>
      <c r="C323" s="85"/>
      <c r="D323" s="129"/>
      <c r="E323" s="85"/>
      <c r="F323" s="85"/>
      <c r="G323" s="129"/>
      <c r="H323" s="85"/>
      <c r="I323" s="85"/>
      <c r="J323" s="129"/>
      <c r="K323" s="85"/>
      <c r="L323" s="85"/>
      <c r="M323" s="129"/>
      <c r="N323" s="85"/>
    </row>
    <row r="324" spans="1:14" hidden="1">
      <c r="A324" s="84"/>
      <c r="B324" s="85"/>
      <c r="C324" s="85"/>
      <c r="D324" s="129"/>
      <c r="E324" s="85"/>
      <c r="F324" s="85"/>
      <c r="G324" s="129"/>
      <c r="H324" s="85"/>
      <c r="I324" s="85"/>
      <c r="J324" s="129"/>
      <c r="K324" s="85"/>
      <c r="L324" s="85"/>
      <c r="M324" s="129"/>
      <c r="N324" s="85"/>
    </row>
    <row r="325" spans="1:14" hidden="1">
      <c r="A325" s="84"/>
      <c r="B325" s="85"/>
      <c r="C325" s="85"/>
      <c r="D325" s="129"/>
      <c r="E325" s="85"/>
      <c r="F325" s="85"/>
      <c r="G325" s="129"/>
      <c r="H325" s="85"/>
      <c r="I325" s="85"/>
      <c r="J325" s="129"/>
      <c r="K325" s="85"/>
      <c r="L325" s="85"/>
      <c r="M325" s="129"/>
      <c r="N325" s="85"/>
    </row>
    <row r="326" spans="1:14" hidden="1">
      <c r="A326" s="84"/>
      <c r="B326" s="85"/>
      <c r="C326" s="85"/>
      <c r="D326" s="129"/>
      <c r="E326" s="85"/>
      <c r="F326" s="85"/>
      <c r="G326" s="129"/>
      <c r="H326" s="85"/>
      <c r="I326" s="85"/>
      <c r="J326" s="129"/>
      <c r="K326" s="85"/>
      <c r="L326" s="85"/>
      <c r="M326" s="129"/>
      <c r="N326" s="85"/>
    </row>
    <row r="327" spans="1:14" hidden="1">
      <c r="A327" s="84"/>
      <c r="B327" s="85"/>
      <c r="C327" s="85"/>
      <c r="D327" s="129"/>
      <c r="E327" s="85"/>
      <c r="F327" s="85"/>
      <c r="G327" s="129"/>
      <c r="H327" s="85"/>
      <c r="I327" s="85"/>
      <c r="J327" s="129"/>
      <c r="K327" s="85"/>
      <c r="L327" s="85"/>
      <c r="M327" s="129"/>
      <c r="N327" s="85"/>
    </row>
    <row r="328" spans="1:14" hidden="1">
      <c r="A328" s="84"/>
      <c r="B328" s="85"/>
      <c r="C328" s="85"/>
      <c r="D328" s="129"/>
      <c r="E328" s="85"/>
      <c r="F328" s="85"/>
      <c r="G328" s="129"/>
      <c r="H328" s="85"/>
      <c r="I328" s="85"/>
      <c r="J328" s="129"/>
      <c r="K328" s="85"/>
      <c r="L328" s="85"/>
      <c r="M328" s="129"/>
      <c r="N328" s="85"/>
    </row>
    <row r="329" spans="1:14" hidden="1">
      <c r="A329" s="84"/>
      <c r="B329" s="85"/>
      <c r="C329" s="85"/>
      <c r="D329" s="129"/>
      <c r="E329" s="85"/>
      <c r="F329" s="85"/>
      <c r="G329" s="129"/>
      <c r="H329" s="85"/>
      <c r="I329" s="85"/>
      <c r="J329" s="129"/>
      <c r="K329" s="85"/>
      <c r="L329" s="85"/>
      <c r="M329" s="129"/>
      <c r="N329" s="85"/>
    </row>
    <row r="330" spans="1:14" hidden="1">
      <c r="A330" s="84"/>
      <c r="B330" s="85"/>
      <c r="C330" s="85"/>
      <c r="D330" s="129"/>
      <c r="E330" s="85"/>
      <c r="F330" s="85"/>
      <c r="G330" s="129"/>
      <c r="H330" s="85"/>
      <c r="I330" s="85"/>
      <c r="J330" s="129"/>
      <c r="K330" s="85"/>
      <c r="L330" s="85"/>
      <c r="M330" s="129"/>
      <c r="N330" s="85"/>
    </row>
    <row r="331" spans="1:14" hidden="1">
      <c r="A331" s="84"/>
      <c r="B331" s="85"/>
      <c r="C331" s="85"/>
      <c r="D331" s="129"/>
      <c r="E331" s="85"/>
      <c r="F331" s="85"/>
      <c r="G331" s="129"/>
      <c r="H331" s="85"/>
      <c r="I331" s="85"/>
      <c r="J331" s="129"/>
      <c r="K331" s="85"/>
      <c r="L331" s="85"/>
      <c r="M331" s="129"/>
      <c r="N331" s="85"/>
    </row>
    <row r="332" spans="1:14" hidden="1">
      <c r="A332" s="84"/>
      <c r="B332" s="85"/>
      <c r="C332" s="85"/>
      <c r="D332" s="129"/>
      <c r="E332" s="85"/>
      <c r="F332" s="85"/>
      <c r="G332" s="129"/>
      <c r="H332" s="85"/>
      <c r="I332" s="85"/>
      <c r="J332" s="129"/>
      <c r="K332" s="85"/>
      <c r="L332" s="85"/>
      <c r="M332" s="129"/>
      <c r="N332" s="85"/>
    </row>
    <row r="333" spans="1:14" hidden="1">
      <c r="N333" s="83"/>
    </row>
    <row r="334" spans="1:14" hidden="1">
      <c r="N334" s="83"/>
    </row>
    <row r="335" spans="1:14" hidden="1">
      <c r="N335" s="83"/>
    </row>
    <row r="336" spans="1:14" hidden="1">
      <c r="N336" s="83"/>
    </row>
    <row r="337" spans="14:14" hidden="1">
      <c r="N337" s="83"/>
    </row>
    <row r="338" spans="14:14" hidden="1">
      <c r="N338" s="83"/>
    </row>
    <row r="339" spans="14:14" hidden="1"/>
  </sheetData>
  <mergeCells count="3">
    <mergeCell ref="A3:A4"/>
    <mergeCell ref="N3:N4"/>
    <mergeCell ref="W6:W7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54"/>
  <sheetViews>
    <sheetView showGridLines="0" showZeros="0" view="pageBreakPreview" zoomScaleSheetLayoutView="100" workbookViewId="0">
      <selection activeCell="G101" sqref="G101 J101 M101 P101"/>
    </sheetView>
  </sheetViews>
  <sheetFormatPr defaultRowHeight="18" customHeight="1"/>
  <cols>
    <col min="1" max="1" width="6.77734375" style="258" customWidth="1"/>
    <col min="2" max="2" width="4.77734375" style="135" customWidth="1"/>
    <col min="3" max="3" width="2" style="133" customWidth="1"/>
    <col min="4" max="4" width="8.77734375" style="93" customWidth="1"/>
    <col min="5" max="5" width="4.77734375" style="135" customWidth="1"/>
    <col min="6" max="6" width="1.5546875" style="133" customWidth="1"/>
    <col min="7" max="7" width="8.77734375" style="93" customWidth="1"/>
    <col min="8" max="8" width="4.77734375" style="135" customWidth="1"/>
    <col min="9" max="9" width="1.5546875" style="133" customWidth="1"/>
    <col min="10" max="10" width="8.77734375" style="93" customWidth="1"/>
    <col min="11" max="11" width="4.77734375" style="135" customWidth="1"/>
    <col min="12" max="12" width="1.5546875" style="133" customWidth="1"/>
    <col min="13" max="13" width="8.77734375" style="93" customWidth="1"/>
    <col min="14" max="14" width="4.77734375" style="135" customWidth="1"/>
    <col min="15" max="15" width="1.5546875" style="133" customWidth="1"/>
    <col min="16" max="16" width="8.77734375" style="93" customWidth="1"/>
    <col min="17" max="24" width="6" style="133" customWidth="1"/>
    <col min="25" max="16384" width="8.88671875" style="133"/>
  </cols>
  <sheetData>
    <row r="1" spans="1:18" s="132" customFormat="1" ht="27.95" customHeight="1">
      <c r="A1" s="256" t="s">
        <v>103</v>
      </c>
      <c r="B1" s="130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145"/>
      <c r="O1" s="145"/>
      <c r="P1" s="145"/>
      <c r="Q1" s="131"/>
      <c r="R1" s="131"/>
    </row>
    <row r="2" spans="1:18" ht="9.9499999999999993" customHeight="1">
      <c r="B2" s="134"/>
      <c r="N2" s="264"/>
      <c r="O2" s="136"/>
      <c r="P2" s="279"/>
      <c r="Q2" s="136"/>
      <c r="R2" s="136"/>
    </row>
    <row r="3" spans="1:18" s="138" customFormat="1" ht="20.100000000000001" customHeight="1">
      <c r="A3" s="447" t="s">
        <v>2</v>
      </c>
      <c r="B3" s="450" t="s">
        <v>3</v>
      </c>
      <c r="C3" s="450"/>
      <c r="D3" s="450"/>
      <c r="E3" s="273" t="s">
        <v>337</v>
      </c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5"/>
      <c r="Q3" s="137"/>
      <c r="R3" s="137"/>
    </row>
    <row r="4" spans="1:18" s="138" customFormat="1" ht="20.100000000000001" customHeight="1">
      <c r="A4" s="448"/>
      <c r="B4" s="451"/>
      <c r="C4" s="451"/>
      <c r="D4" s="451"/>
      <c r="E4" s="458" t="s">
        <v>335</v>
      </c>
      <c r="F4" s="459"/>
      <c r="G4" s="460"/>
      <c r="H4" s="276" t="s">
        <v>336</v>
      </c>
      <c r="I4" s="277"/>
      <c r="J4" s="278"/>
      <c r="K4" s="458"/>
      <c r="L4" s="459"/>
      <c r="M4" s="460"/>
      <c r="N4" s="276"/>
      <c r="O4" s="277"/>
      <c r="P4" s="280"/>
      <c r="Q4" s="137"/>
      <c r="R4" s="137"/>
    </row>
    <row r="5" spans="1:18" s="138" customFormat="1" ht="20.100000000000001" customHeight="1">
      <c r="A5" s="449"/>
      <c r="B5" s="266" t="s">
        <v>78</v>
      </c>
      <c r="C5" s="267" t="s">
        <v>5</v>
      </c>
      <c r="D5" s="268" t="s">
        <v>6</v>
      </c>
      <c r="E5" s="266" t="s">
        <v>4</v>
      </c>
      <c r="F5" s="267" t="s">
        <v>5</v>
      </c>
      <c r="G5" s="268" t="s">
        <v>6</v>
      </c>
      <c r="H5" s="266" t="s">
        <v>4</v>
      </c>
      <c r="I5" s="267" t="s">
        <v>5</v>
      </c>
      <c r="J5" s="268" t="s">
        <v>6</v>
      </c>
      <c r="K5" s="266" t="s">
        <v>4</v>
      </c>
      <c r="L5" s="267" t="s">
        <v>5</v>
      </c>
      <c r="M5" s="268" t="s">
        <v>6</v>
      </c>
      <c r="N5" s="266" t="s">
        <v>4</v>
      </c>
      <c r="O5" s="267" t="s">
        <v>5</v>
      </c>
      <c r="P5" s="269" t="s">
        <v>6</v>
      </c>
      <c r="Q5" s="137"/>
      <c r="R5" s="137"/>
    </row>
    <row r="6" spans="1:18" s="138" customFormat="1" ht="24" customHeight="1">
      <c r="A6" s="259" t="s">
        <v>3</v>
      </c>
      <c r="B6" s="244" t="e">
        <f>SUM(B7:B31)</f>
        <v>#REF!</v>
      </c>
      <c r="C6" s="245" t="s">
        <v>5</v>
      </c>
      <c r="D6" s="246" t="e">
        <f>SUM(D7:D31)</f>
        <v>#REF!</v>
      </c>
      <c r="E6" s="244" t="e">
        <f>SUM(E7:E31)</f>
        <v>#REF!</v>
      </c>
      <c r="F6" s="245" t="s">
        <v>5</v>
      </c>
      <c r="G6" s="246" t="e">
        <f>SUM(G7:G31)</f>
        <v>#REF!</v>
      </c>
      <c r="H6" s="244" t="e">
        <f>SUM(H7:H31)</f>
        <v>#REF!</v>
      </c>
      <c r="I6" s="245" t="s">
        <v>5</v>
      </c>
      <c r="J6" s="246" t="e">
        <f>SUM(J7:J31)</f>
        <v>#REF!</v>
      </c>
      <c r="K6" s="270">
        <f>SUM(K7:K31)</f>
        <v>0</v>
      </c>
      <c r="L6" s="271" t="s">
        <v>5</v>
      </c>
      <c r="M6" s="272">
        <f>SUM(M7:M31)</f>
        <v>0</v>
      </c>
      <c r="N6" s="244">
        <f>SUM(N7:N31)</f>
        <v>0</v>
      </c>
      <c r="O6" s="245" t="s">
        <v>5</v>
      </c>
      <c r="P6" s="253">
        <f>SUM(P7:P31)</f>
        <v>0</v>
      </c>
      <c r="Q6" s="137"/>
      <c r="R6" s="74" t="e">
        <f>IF(D6=(G6+J6+M6+P6),"ok","false")</f>
        <v>#REF!</v>
      </c>
    </row>
    <row r="7" spans="1:18" s="138" customFormat="1" ht="24" customHeight="1">
      <c r="A7" s="260" t="s">
        <v>7</v>
      </c>
      <c r="B7" s="247" t="e">
        <f>SUM(E7,H7,K7,N7)</f>
        <v>#REF!</v>
      </c>
      <c r="C7" s="248" t="s">
        <v>5</v>
      </c>
      <c r="D7" s="249" t="e">
        <f>SUM(G7,J7,M7,P7)</f>
        <v>#REF!</v>
      </c>
      <c r="E7" s="247" t="e">
        <f>'마산리집계표(당초)'!B6</f>
        <v>#REF!</v>
      </c>
      <c r="F7" s="248" t="s">
        <v>5</v>
      </c>
      <c r="G7" s="249" t="e">
        <f>'마산리집계표(당초)'!D6</f>
        <v>#REF!</v>
      </c>
      <c r="H7" s="247" t="e">
        <f>#REF!</f>
        <v>#REF!</v>
      </c>
      <c r="I7" s="248" t="s">
        <v>5</v>
      </c>
      <c r="J7" s="249" t="e">
        <f>#REF!</f>
        <v>#REF!</v>
      </c>
      <c r="K7" s="247">
        <f>신흥리집계표!B6</f>
        <v>0</v>
      </c>
      <c r="L7" s="248" t="s">
        <v>5</v>
      </c>
      <c r="M7" s="249">
        <f>신흥리집계표!D6</f>
        <v>0</v>
      </c>
      <c r="N7" s="247">
        <f>죽림리집계표!B6</f>
        <v>0</v>
      </c>
      <c r="O7" s="248" t="s">
        <v>5</v>
      </c>
      <c r="P7" s="254">
        <f>죽림리집계표!D6</f>
        <v>0</v>
      </c>
      <c r="Q7" s="137"/>
      <c r="R7" s="74" t="e">
        <f t="shared" ref="R7:R70" si="0">IF(D7=(G7+J7+M7+P7),"ok","false")</f>
        <v>#REF!</v>
      </c>
    </row>
    <row r="8" spans="1:18" s="138" customFormat="1" ht="24" customHeight="1">
      <c r="A8" s="260" t="s">
        <v>8</v>
      </c>
      <c r="B8" s="247" t="e">
        <f t="shared" ref="B8:B31" si="1">SUM(E8,H8,K8,N8)</f>
        <v>#REF!</v>
      </c>
      <c r="C8" s="248" t="s">
        <v>5</v>
      </c>
      <c r="D8" s="249" t="e">
        <f t="shared" ref="D8:D31" si="2">SUM(G8,J8,M8,P8)</f>
        <v>#REF!</v>
      </c>
      <c r="E8" s="247" t="e">
        <f>'마산리집계표(당초)'!B7</f>
        <v>#REF!</v>
      </c>
      <c r="F8" s="248" t="s">
        <v>5</v>
      </c>
      <c r="G8" s="249" t="e">
        <f>'마산리집계표(당초)'!D7</f>
        <v>#REF!</v>
      </c>
      <c r="H8" s="247" t="e">
        <f>#REF!</f>
        <v>#REF!</v>
      </c>
      <c r="I8" s="248" t="s">
        <v>5</v>
      </c>
      <c r="J8" s="249" t="e">
        <f>#REF!</f>
        <v>#REF!</v>
      </c>
      <c r="K8" s="247">
        <f>신흥리집계표!B7</f>
        <v>0</v>
      </c>
      <c r="L8" s="248" t="s">
        <v>5</v>
      </c>
      <c r="M8" s="249">
        <f>신흥리집계표!D7</f>
        <v>0</v>
      </c>
      <c r="N8" s="247">
        <f>죽림리집계표!B7</f>
        <v>0</v>
      </c>
      <c r="O8" s="248" t="s">
        <v>5</v>
      </c>
      <c r="P8" s="254">
        <f>죽림리집계표!D7</f>
        <v>0</v>
      </c>
      <c r="Q8" s="137"/>
      <c r="R8" s="74" t="e">
        <f t="shared" si="0"/>
        <v>#REF!</v>
      </c>
    </row>
    <row r="9" spans="1:18" s="138" customFormat="1" ht="24" customHeight="1">
      <c r="A9" s="260" t="s">
        <v>9</v>
      </c>
      <c r="B9" s="247" t="e">
        <f t="shared" si="1"/>
        <v>#REF!</v>
      </c>
      <c r="C9" s="248" t="s">
        <v>5</v>
      </c>
      <c r="D9" s="249" t="e">
        <f t="shared" si="2"/>
        <v>#REF!</v>
      </c>
      <c r="E9" s="247" t="e">
        <f>'마산리집계표(당초)'!B8</f>
        <v>#REF!</v>
      </c>
      <c r="F9" s="248" t="s">
        <v>5</v>
      </c>
      <c r="G9" s="249" t="e">
        <f>'마산리집계표(당초)'!D8</f>
        <v>#REF!</v>
      </c>
      <c r="H9" s="247" t="e">
        <f>#REF!</f>
        <v>#REF!</v>
      </c>
      <c r="I9" s="248" t="s">
        <v>5</v>
      </c>
      <c r="J9" s="249" t="e">
        <f>#REF!</f>
        <v>#REF!</v>
      </c>
      <c r="K9" s="247">
        <f>신흥리집계표!B8</f>
        <v>0</v>
      </c>
      <c r="L9" s="248" t="s">
        <v>5</v>
      </c>
      <c r="M9" s="249">
        <f>신흥리집계표!D8</f>
        <v>0</v>
      </c>
      <c r="N9" s="247">
        <f>죽림리집계표!B8</f>
        <v>0</v>
      </c>
      <c r="O9" s="248" t="s">
        <v>5</v>
      </c>
      <c r="P9" s="254">
        <f>죽림리집계표!D8</f>
        <v>0</v>
      </c>
      <c r="Q9" s="137"/>
      <c r="R9" s="74" t="e">
        <f t="shared" si="0"/>
        <v>#REF!</v>
      </c>
    </row>
    <row r="10" spans="1:18" s="138" customFormat="1" ht="24" customHeight="1">
      <c r="A10" s="260" t="s">
        <v>10</v>
      </c>
      <c r="B10" s="247" t="e">
        <f t="shared" si="1"/>
        <v>#REF!</v>
      </c>
      <c r="C10" s="248" t="s">
        <v>5</v>
      </c>
      <c r="D10" s="249" t="e">
        <f t="shared" si="2"/>
        <v>#REF!</v>
      </c>
      <c r="E10" s="247" t="e">
        <f>'마산리집계표(당초)'!B9</f>
        <v>#REF!</v>
      </c>
      <c r="F10" s="248" t="s">
        <v>5</v>
      </c>
      <c r="G10" s="249" t="e">
        <f>'마산리집계표(당초)'!D9</f>
        <v>#REF!</v>
      </c>
      <c r="H10" s="247" t="e">
        <f>#REF!</f>
        <v>#REF!</v>
      </c>
      <c r="I10" s="248" t="s">
        <v>5</v>
      </c>
      <c r="J10" s="249" t="e">
        <f>#REF!</f>
        <v>#REF!</v>
      </c>
      <c r="K10" s="247">
        <f>신흥리집계표!B9</f>
        <v>0</v>
      </c>
      <c r="L10" s="248" t="s">
        <v>5</v>
      </c>
      <c r="M10" s="249">
        <f>신흥리집계표!D9</f>
        <v>0</v>
      </c>
      <c r="N10" s="247">
        <f>죽림리집계표!B9</f>
        <v>0</v>
      </c>
      <c r="O10" s="248" t="s">
        <v>5</v>
      </c>
      <c r="P10" s="254">
        <f>죽림리집계표!D9</f>
        <v>0</v>
      </c>
      <c r="Q10" s="137"/>
      <c r="R10" s="74" t="e">
        <f t="shared" si="0"/>
        <v>#REF!</v>
      </c>
    </row>
    <row r="11" spans="1:18" s="138" customFormat="1" ht="24" customHeight="1">
      <c r="A11" s="260" t="s">
        <v>11</v>
      </c>
      <c r="B11" s="247" t="e">
        <f t="shared" si="1"/>
        <v>#REF!</v>
      </c>
      <c r="C11" s="248" t="s">
        <v>5</v>
      </c>
      <c r="D11" s="249" t="e">
        <f t="shared" si="2"/>
        <v>#REF!</v>
      </c>
      <c r="E11" s="247" t="e">
        <f>'마산리집계표(당초)'!B10</f>
        <v>#REF!</v>
      </c>
      <c r="F11" s="248" t="s">
        <v>5</v>
      </c>
      <c r="G11" s="249" t="e">
        <f>'마산리집계표(당초)'!D10</f>
        <v>#REF!</v>
      </c>
      <c r="H11" s="247" t="e">
        <f>#REF!</f>
        <v>#REF!</v>
      </c>
      <c r="I11" s="248" t="s">
        <v>5</v>
      </c>
      <c r="J11" s="249" t="e">
        <f>#REF!</f>
        <v>#REF!</v>
      </c>
      <c r="K11" s="247">
        <f>신흥리집계표!B10</f>
        <v>0</v>
      </c>
      <c r="L11" s="248" t="s">
        <v>5</v>
      </c>
      <c r="M11" s="249">
        <f>신흥리집계표!D10</f>
        <v>0</v>
      </c>
      <c r="N11" s="247">
        <f>죽림리집계표!B10</f>
        <v>0</v>
      </c>
      <c r="O11" s="248" t="s">
        <v>5</v>
      </c>
      <c r="P11" s="254">
        <f>죽림리집계표!D10</f>
        <v>0</v>
      </c>
      <c r="Q11" s="137"/>
      <c r="R11" s="74" t="e">
        <f t="shared" si="0"/>
        <v>#REF!</v>
      </c>
    </row>
    <row r="12" spans="1:18" s="138" customFormat="1" ht="24" customHeight="1">
      <c r="A12" s="260" t="s">
        <v>13</v>
      </c>
      <c r="B12" s="247" t="e">
        <f t="shared" si="1"/>
        <v>#REF!</v>
      </c>
      <c r="C12" s="248" t="s">
        <v>5</v>
      </c>
      <c r="D12" s="249" t="e">
        <f t="shared" si="2"/>
        <v>#REF!</v>
      </c>
      <c r="E12" s="247" t="e">
        <f>'마산리집계표(당초)'!B11</f>
        <v>#REF!</v>
      </c>
      <c r="F12" s="248" t="s">
        <v>5</v>
      </c>
      <c r="G12" s="249" t="e">
        <f>'마산리집계표(당초)'!D11</f>
        <v>#REF!</v>
      </c>
      <c r="H12" s="247" t="e">
        <f>#REF!</f>
        <v>#REF!</v>
      </c>
      <c r="I12" s="248" t="s">
        <v>5</v>
      </c>
      <c r="J12" s="249" t="e">
        <f>#REF!</f>
        <v>#REF!</v>
      </c>
      <c r="K12" s="247">
        <f>신흥리집계표!B11</f>
        <v>0</v>
      </c>
      <c r="L12" s="248" t="s">
        <v>5</v>
      </c>
      <c r="M12" s="249">
        <f>신흥리집계표!D11</f>
        <v>0</v>
      </c>
      <c r="N12" s="247">
        <f>죽림리집계표!B11</f>
        <v>0</v>
      </c>
      <c r="O12" s="248" t="s">
        <v>5</v>
      </c>
      <c r="P12" s="254">
        <f>죽림리집계표!D11</f>
        <v>0</v>
      </c>
      <c r="Q12" s="137"/>
      <c r="R12" s="74" t="e">
        <f t="shared" si="0"/>
        <v>#REF!</v>
      </c>
    </row>
    <row r="13" spans="1:18" s="138" customFormat="1" ht="24" customHeight="1">
      <c r="A13" s="260" t="s">
        <v>12</v>
      </c>
      <c r="B13" s="247" t="e">
        <f t="shared" si="1"/>
        <v>#REF!</v>
      </c>
      <c r="C13" s="248" t="s">
        <v>5</v>
      </c>
      <c r="D13" s="249" t="e">
        <f t="shared" si="2"/>
        <v>#REF!</v>
      </c>
      <c r="E13" s="247" t="e">
        <f>'마산리집계표(당초)'!B12</f>
        <v>#REF!</v>
      </c>
      <c r="F13" s="248" t="s">
        <v>5</v>
      </c>
      <c r="G13" s="249" t="e">
        <f>'마산리집계표(당초)'!D12</f>
        <v>#REF!</v>
      </c>
      <c r="H13" s="247" t="e">
        <f>#REF!</f>
        <v>#REF!</v>
      </c>
      <c r="I13" s="248" t="s">
        <v>5</v>
      </c>
      <c r="J13" s="249" t="e">
        <f>#REF!</f>
        <v>#REF!</v>
      </c>
      <c r="K13" s="247">
        <f>신흥리집계표!B12</f>
        <v>0</v>
      </c>
      <c r="L13" s="248" t="s">
        <v>5</v>
      </c>
      <c r="M13" s="249">
        <f>신흥리집계표!D12</f>
        <v>0</v>
      </c>
      <c r="N13" s="247">
        <f>죽림리집계표!B12</f>
        <v>0</v>
      </c>
      <c r="O13" s="248" t="s">
        <v>5</v>
      </c>
      <c r="P13" s="254">
        <f>죽림리집계표!D12</f>
        <v>0</v>
      </c>
      <c r="Q13" s="137"/>
      <c r="R13" s="74" t="e">
        <f t="shared" si="0"/>
        <v>#REF!</v>
      </c>
    </row>
    <row r="14" spans="1:18" s="138" customFormat="1" ht="24" customHeight="1">
      <c r="A14" s="260" t="s">
        <v>15</v>
      </c>
      <c r="B14" s="247" t="e">
        <f t="shared" si="1"/>
        <v>#REF!</v>
      </c>
      <c r="C14" s="248" t="s">
        <v>5</v>
      </c>
      <c r="D14" s="249" t="e">
        <f t="shared" si="2"/>
        <v>#REF!</v>
      </c>
      <c r="E14" s="247" t="e">
        <f>'마산리집계표(당초)'!B13</f>
        <v>#REF!</v>
      </c>
      <c r="F14" s="248" t="s">
        <v>5</v>
      </c>
      <c r="G14" s="249" t="e">
        <f>'마산리집계표(당초)'!D13</f>
        <v>#REF!</v>
      </c>
      <c r="H14" s="247" t="e">
        <f>#REF!</f>
        <v>#REF!</v>
      </c>
      <c r="I14" s="248" t="s">
        <v>5</v>
      </c>
      <c r="J14" s="249" t="e">
        <f>#REF!</f>
        <v>#REF!</v>
      </c>
      <c r="K14" s="247">
        <f>신흥리집계표!B13</f>
        <v>0</v>
      </c>
      <c r="L14" s="248" t="s">
        <v>5</v>
      </c>
      <c r="M14" s="249">
        <f>신흥리집계표!D13</f>
        <v>0</v>
      </c>
      <c r="N14" s="247">
        <f>죽림리집계표!B13</f>
        <v>0</v>
      </c>
      <c r="O14" s="248" t="s">
        <v>5</v>
      </c>
      <c r="P14" s="254">
        <f>죽림리집계표!D13</f>
        <v>0</v>
      </c>
      <c r="Q14" s="137"/>
      <c r="R14" s="74" t="e">
        <f t="shared" si="0"/>
        <v>#REF!</v>
      </c>
    </row>
    <row r="15" spans="1:18" s="138" customFormat="1" ht="24" customHeight="1">
      <c r="A15" s="260" t="s">
        <v>14</v>
      </c>
      <c r="B15" s="247" t="e">
        <f t="shared" si="1"/>
        <v>#REF!</v>
      </c>
      <c r="C15" s="248" t="s">
        <v>5</v>
      </c>
      <c r="D15" s="249" t="e">
        <f t="shared" si="2"/>
        <v>#REF!</v>
      </c>
      <c r="E15" s="247" t="e">
        <f>'마산리집계표(당초)'!B14</f>
        <v>#REF!</v>
      </c>
      <c r="F15" s="248" t="s">
        <v>5</v>
      </c>
      <c r="G15" s="249" t="e">
        <f>'마산리집계표(당초)'!D14</f>
        <v>#REF!</v>
      </c>
      <c r="H15" s="247" t="e">
        <f>#REF!</f>
        <v>#REF!</v>
      </c>
      <c r="I15" s="248" t="s">
        <v>5</v>
      </c>
      <c r="J15" s="249" t="e">
        <f>#REF!</f>
        <v>#REF!</v>
      </c>
      <c r="K15" s="247">
        <f>신흥리집계표!B14</f>
        <v>0</v>
      </c>
      <c r="L15" s="248" t="s">
        <v>5</v>
      </c>
      <c r="M15" s="249">
        <f>신흥리집계표!D14</f>
        <v>0</v>
      </c>
      <c r="N15" s="247">
        <f>죽림리집계표!B14</f>
        <v>0</v>
      </c>
      <c r="O15" s="248" t="s">
        <v>5</v>
      </c>
      <c r="P15" s="254">
        <f>죽림리집계표!D14</f>
        <v>0</v>
      </c>
      <c r="Q15" s="137"/>
      <c r="R15" s="74" t="e">
        <f t="shared" si="0"/>
        <v>#REF!</v>
      </c>
    </row>
    <row r="16" spans="1:18" s="138" customFormat="1" ht="24" customHeight="1">
      <c r="A16" s="260" t="s">
        <v>16</v>
      </c>
      <c r="B16" s="247" t="e">
        <f t="shared" si="1"/>
        <v>#REF!</v>
      </c>
      <c r="C16" s="248" t="s">
        <v>5</v>
      </c>
      <c r="D16" s="249" t="e">
        <f t="shared" si="2"/>
        <v>#REF!</v>
      </c>
      <c r="E16" s="247" t="e">
        <f>'마산리집계표(당초)'!B15</f>
        <v>#REF!</v>
      </c>
      <c r="F16" s="248" t="s">
        <v>5</v>
      </c>
      <c r="G16" s="249" t="e">
        <f>'마산리집계표(당초)'!D15</f>
        <v>#REF!</v>
      </c>
      <c r="H16" s="247" t="e">
        <f>#REF!</f>
        <v>#REF!</v>
      </c>
      <c r="I16" s="248" t="s">
        <v>5</v>
      </c>
      <c r="J16" s="249" t="e">
        <f>#REF!</f>
        <v>#REF!</v>
      </c>
      <c r="K16" s="247">
        <f>신흥리집계표!B15</f>
        <v>0</v>
      </c>
      <c r="L16" s="248" t="s">
        <v>5</v>
      </c>
      <c r="M16" s="249">
        <f>신흥리집계표!D15</f>
        <v>0</v>
      </c>
      <c r="N16" s="247">
        <f>죽림리집계표!B15</f>
        <v>0</v>
      </c>
      <c r="O16" s="248" t="s">
        <v>5</v>
      </c>
      <c r="P16" s="254">
        <f>죽림리집계표!D15</f>
        <v>0</v>
      </c>
      <c r="Q16" s="137"/>
      <c r="R16" s="74" t="e">
        <f t="shared" si="0"/>
        <v>#REF!</v>
      </c>
    </row>
    <row r="17" spans="1:18" s="138" customFormat="1" ht="24" customHeight="1">
      <c r="A17" s="260" t="s">
        <v>21</v>
      </c>
      <c r="B17" s="247" t="e">
        <f t="shared" si="1"/>
        <v>#REF!</v>
      </c>
      <c r="C17" s="248" t="s">
        <v>5</v>
      </c>
      <c r="D17" s="249" t="e">
        <f t="shared" si="2"/>
        <v>#REF!</v>
      </c>
      <c r="E17" s="247" t="e">
        <f>'마산리집계표(당초)'!B16</f>
        <v>#REF!</v>
      </c>
      <c r="F17" s="248" t="s">
        <v>5</v>
      </c>
      <c r="G17" s="249" t="e">
        <f>'마산리집계표(당초)'!D16</f>
        <v>#REF!</v>
      </c>
      <c r="H17" s="247" t="e">
        <f>#REF!</f>
        <v>#REF!</v>
      </c>
      <c r="I17" s="248" t="s">
        <v>5</v>
      </c>
      <c r="J17" s="249" t="e">
        <f>#REF!</f>
        <v>#REF!</v>
      </c>
      <c r="K17" s="247">
        <f>신흥리집계표!B16</f>
        <v>0</v>
      </c>
      <c r="L17" s="248" t="s">
        <v>5</v>
      </c>
      <c r="M17" s="249">
        <f>신흥리집계표!D16</f>
        <v>0</v>
      </c>
      <c r="N17" s="247">
        <f>죽림리집계표!B16</f>
        <v>0</v>
      </c>
      <c r="O17" s="248" t="s">
        <v>5</v>
      </c>
      <c r="P17" s="254">
        <f>죽림리집계표!D16</f>
        <v>0</v>
      </c>
      <c r="Q17" s="137"/>
      <c r="R17" s="74" t="e">
        <f t="shared" si="0"/>
        <v>#REF!</v>
      </c>
    </row>
    <row r="18" spans="1:18" s="138" customFormat="1" ht="24" customHeight="1">
      <c r="A18" s="260" t="s">
        <v>18</v>
      </c>
      <c r="B18" s="247" t="e">
        <f t="shared" si="1"/>
        <v>#REF!</v>
      </c>
      <c r="C18" s="248" t="s">
        <v>5</v>
      </c>
      <c r="D18" s="249" t="e">
        <f t="shared" si="2"/>
        <v>#REF!</v>
      </c>
      <c r="E18" s="247" t="e">
        <f>'마산리집계표(당초)'!B17</f>
        <v>#REF!</v>
      </c>
      <c r="F18" s="248" t="s">
        <v>5</v>
      </c>
      <c r="G18" s="249" t="e">
        <f>'마산리집계표(당초)'!D17</f>
        <v>#REF!</v>
      </c>
      <c r="H18" s="247" t="e">
        <f>#REF!</f>
        <v>#REF!</v>
      </c>
      <c r="I18" s="248" t="s">
        <v>5</v>
      </c>
      <c r="J18" s="249" t="e">
        <f>#REF!</f>
        <v>#REF!</v>
      </c>
      <c r="K18" s="247">
        <f>신흥리집계표!B17</f>
        <v>0</v>
      </c>
      <c r="L18" s="248" t="s">
        <v>5</v>
      </c>
      <c r="M18" s="249">
        <f>신흥리집계표!D17</f>
        <v>0</v>
      </c>
      <c r="N18" s="247">
        <f>죽림리집계표!B17</f>
        <v>0</v>
      </c>
      <c r="O18" s="248" t="s">
        <v>5</v>
      </c>
      <c r="P18" s="254">
        <f>죽림리집계표!D17</f>
        <v>0</v>
      </c>
      <c r="Q18" s="137"/>
      <c r="R18" s="74" t="e">
        <f t="shared" si="0"/>
        <v>#REF!</v>
      </c>
    </row>
    <row r="19" spans="1:18" s="138" customFormat="1" ht="24" customHeight="1">
      <c r="A19" s="260" t="s">
        <v>23</v>
      </c>
      <c r="B19" s="247" t="e">
        <f t="shared" si="1"/>
        <v>#REF!</v>
      </c>
      <c r="C19" s="248" t="s">
        <v>5</v>
      </c>
      <c r="D19" s="249" t="e">
        <f t="shared" si="2"/>
        <v>#REF!</v>
      </c>
      <c r="E19" s="247" t="e">
        <f>'마산리집계표(당초)'!B18</f>
        <v>#REF!</v>
      </c>
      <c r="F19" s="248" t="s">
        <v>5</v>
      </c>
      <c r="G19" s="249" t="e">
        <f>'마산리집계표(당초)'!D18</f>
        <v>#REF!</v>
      </c>
      <c r="H19" s="247" t="e">
        <f>#REF!</f>
        <v>#REF!</v>
      </c>
      <c r="I19" s="248" t="s">
        <v>5</v>
      </c>
      <c r="J19" s="249" t="e">
        <f>#REF!</f>
        <v>#REF!</v>
      </c>
      <c r="K19" s="247">
        <f>신흥리집계표!B18</f>
        <v>0</v>
      </c>
      <c r="L19" s="248" t="s">
        <v>5</v>
      </c>
      <c r="M19" s="249">
        <f>신흥리집계표!D18</f>
        <v>0</v>
      </c>
      <c r="N19" s="247">
        <f>죽림리집계표!B18</f>
        <v>0</v>
      </c>
      <c r="O19" s="248" t="s">
        <v>5</v>
      </c>
      <c r="P19" s="254">
        <f>죽림리집계표!D18</f>
        <v>0</v>
      </c>
      <c r="Q19" s="137"/>
      <c r="R19" s="74" t="e">
        <f t="shared" si="0"/>
        <v>#REF!</v>
      </c>
    </row>
    <row r="20" spans="1:18" s="138" customFormat="1" ht="24" customHeight="1">
      <c r="A20" s="260" t="s">
        <v>41</v>
      </c>
      <c r="B20" s="247" t="e">
        <f t="shared" si="1"/>
        <v>#REF!</v>
      </c>
      <c r="C20" s="248" t="s">
        <v>5</v>
      </c>
      <c r="D20" s="249" t="e">
        <f t="shared" si="2"/>
        <v>#REF!</v>
      </c>
      <c r="E20" s="247" t="e">
        <f>'마산리집계표(당초)'!B19</f>
        <v>#REF!</v>
      </c>
      <c r="F20" s="248" t="s">
        <v>5</v>
      </c>
      <c r="G20" s="249" t="e">
        <f>'마산리집계표(당초)'!D19</f>
        <v>#REF!</v>
      </c>
      <c r="H20" s="247" t="e">
        <f>#REF!</f>
        <v>#REF!</v>
      </c>
      <c r="I20" s="248" t="s">
        <v>5</v>
      </c>
      <c r="J20" s="249" t="e">
        <f>#REF!</f>
        <v>#REF!</v>
      </c>
      <c r="K20" s="247">
        <f>신흥리집계표!B19</f>
        <v>0</v>
      </c>
      <c r="L20" s="248" t="s">
        <v>5</v>
      </c>
      <c r="M20" s="249">
        <f>신흥리집계표!D19</f>
        <v>0</v>
      </c>
      <c r="N20" s="247">
        <f>죽림리집계표!B19</f>
        <v>0</v>
      </c>
      <c r="O20" s="248" t="s">
        <v>5</v>
      </c>
      <c r="P20" s="254">
        <f>죽림리집계표!D19</f>
        <v>0</v>
      </c>
      <c r="Q20" s="137"/>
      <c r="R20" s="74" t="e">
        <f t="shared" si="0"/>
        <v>#REF!</v>
      </c>
    </row>
    <row r="21" spans="1:18" s="138" customFormat="1" ht="24" customHeight="1">
      <c r="A21" s="260" t="s">
        <v>17</v>
      </c>
      <c r="B21" s="247" t="e">
        <f t="shared" si="1"/>
        <v>#REF!</v>
      </c>
      <c r="C21" s="248" t="s">
        <v>5</v>
      </c>
      <c r="D21" s="249" t="e">
        <f t="shared" si="2"/>
        <v>#REF!</v>
      </c>
      <c r="E21" s="247" t="e">
        <f>'마산리집계표(당초)'!B20</f>
        <v>#REF!</v>
      </c>
      <c r="F21" s="248" t="s">
        <v>5</v>
      </c>
      <c r="G21" s="249" t="e">
        <f>'마산리집계표(당초)'!D20</f>
        <v>#REF!</v>
      </c>
      <c r="H21" s="247" t="e">
        <f>#REF!</f>
        <v>#REF!</v>
      </c>
      <c r="I21" s="248" t="s">
        <v>5</v>
      </c>
      <c r="J21" s="249" t="e">
        <f>#REF!</f>
        <v>#REF!</v>
      </c>
      <c r="K21" s="247">
        <f>신흥리집계표!B20</f>
        <v>0</v>
      </c>
      <c r="L21" s="248" t="s">
        <v>5</v>
      </c>
      <c r="M21" s="249">
        <f>신흥리집계표!D20</f>
        <v>0</v>
      </c>
      <c r="N21" s="247">
        <f>죽림리집계표!B20</f>
        <v>0</v>
      </c>
      <c r="O21" s="248" t="s">
        <v>5</v>
      </c>
      <c r="P21" s="254">
        <f>죽림리집계표!D20</f>
        <v>0</v>
      </c>
      <c r="Q21" s="137"/>
      <c r="R21" s="74" t="e">
        <f t="shared" si="0"/>
        <v>#REF!</v>
      </c>
    </row>
    <row r="22" spans="1:18" s="138" customFormat="1" ht="24" customHeight="1">
      <c r="A22" s="260" t="s">
        <v>20</v>
      </c>
      <c r="B22" s="247" t="e">
        <f t="shared" si="1"/>
        <v>#REF!</v>
      </c>
      <c r="C22" s="248" t="s">
        <v>5</v>
      </c>
      <c r="D22" s="249" t="e">
        <f t="shared" si="2"/>
        <v>#REF!</v>
      </c>
      <c r="E22" s="247" t="e">
        <f>'마산리집계표(당초)'!B21</f>
        <v>#REF!</v>
      </c>
      <c r="F22" s="248" t="s">
        <v>5</v>
      </c>
      <c r="G22" s="249" t="e">
        <f>'마산리집계표(당초)'!D21</f>
        <v>#REF!</v>
      </c>
      <c r="H22" s="247" t="e">
        <f>#REF!</f>
        <v>#REF!</v>
      </c>
      <c r="I22" s="248" t="s">
        <v>5</v>
      </c>
      <c r="J22" s="249" t="e">
        <f>#REF!</f>
        <v>#REF!</v>
      </c>
      <c r="K22" s="247">
        <f>신흥리집계표!B21</f>
        <v>0</v>
      </c>
      <c r="L22" s="248" t="s">
        <v>5</v>
      </c>
      <c r="M22" s="249">
        <f>신흥리집계표!D21</f>
        <v>0</v>
      </c>
      <c r="N22" s="247">
        <f>죽림리집계표!B21</f>
        <v>0</v>
      </c>
      <c r="O22" s="248" t="s">
        <v>5</v>
      </c>
      <c r="P22" s="254">
        <f>죽림리집계표!D21</f>
        <v>0</v>
      </c>
      <c r="Q22" s="137"/>
      <c r="R22" s="74" t="e">
        <f t="shared" si="0"/>
        <v>#REF!</v>
      </c>
    </row>
    <row r="23" spans="1:18" s="138" customFormat="1" ht="24" customHeight="1">
      <c r="A23" s="260" t="s">
        <v>19</v>
      </c>
      <c r="B23" s="247" t="e">
        <f t="shared" si="1"/>
        <v>#REF!</v>
      </c>
      <c r="C23" s="248" t="s">
        <v>5</v>
      </c>
      <c r="D23" s="249" t="e">
        <f t="shared" si="2"/>
        <v>#REF!</v>
      </c>
      <c r="E23" s="247" t="e">
        <f>'마산리집계표(당초)'!B22</f>
        <v>#REF!</v>
      </c>
      <c r="F23" s="248" t="s">
        <v>5</v>
      </c>
      <c r="G23" s="249" t="e">
        <f>'마산리집계표(당초)'!D22</f>
        <v>#REF!</v>
      </c>
      <c r="H23" s="247" t="e">
        <f>#REF!</f>
        <v>#REF!</v>
      </c>
      <c r="I23" s="248" t="s">
        <v>5</v>
      </c>
      <c r="J23" s="249" t="e">
        <f>#REF!</f>
        <v>#REF!</v>
      </c>
      <c r="K23" s="247">
        <f>신흥리집계표!B22</f>
        <v>0</v>
      </c>
      <c r="L23" s="248" t="s">
        <v>5</v>
      </c>
      <c r="M23" s="249">
        <f>신흥리집계표!D22</f>
        <v>0</v>
      </c>
      <c r="N23" s="247">
        <f>죽림리집계표!B22</f>
        <v>0</v>
      </c>
      <c r="O23" s="248" t="s">
        <v>5</v>
      </c>
      <c r="P23" s="254">
        <f>죽림리집계표!D22</f>
        <v>0</v>
      </c>
      <c r="Q23" s="137"/>
      <c r="R23" s="74" t="e">
        <f t="shared" si="0"/>
        <v>#REF!</v>
      </c>
    </row>
    <row r="24" spans="1:18" s="138" customFormat="1" ht="24" customHeight="1">
      <c r="A24" s="261" t="s">
        <v>42</v>
      </c>
      <c r="B24" s="247" t="e">
        <f t="shared" si="1"/>
        <v>#REF!</v>
      </c>
      <c r="C24" s="248" t="s">
        <v>5</v>
      </c>
      <c r="D24" s="249" t="e">
        <f t="shared" si="2"/>
        <v>#REF!</v>
      </c>
      <c r="E24" s="247" t="e">
        <f>'마산리집계표(당초)'!B23</f>
        <v>#REF!</v>
      </c>
      <c r="F24" s="248" t="s">
        <v>5</v>
      </c>
      <c r="G24" s="249" t="e">
        <f>'마산리집계표(당초)'!D23</f>
        <v>#REF!</v>
      </c>
      <c r="H24" s="247" t="e">
        <f>#REF!</f>
        <v>#REF!</v>
      </c>
      <c r="I24" s="248" t="s">
        <v>5</v>
      </c>
      <c r="J24" s="249" t="e">
        <f>#REF!</f>
        <v>#REF!</v>
      </c>
      <c r="K24" s="247">
        <f>신흥리집계표!B23</f>
        <v>0</v>
      </c>
      <c r="L24" s="248" t="s">
        <v>5</v>
      </c>
      <c r="M24" s="249">
        <f>신흥리집계표!D23</f>
        <v>0</v>
      </c>
      <c r="N24" s="247">
        <f>죽림리집계표!B23</f>
        <v>0</v>
      </c>
      <c r="O24" s="248" t="s">
        <v>5</v>
      </c>
      <c r="P24" s="254">
        <f>죽림리집계표!D23</f>
        <v>0</v>
      </c>
      <c r="R24" s="74" t="e">
        <f t="shared" si="0"/>
        <v>#REF!</v>
      </c>
    </row>
    <row r="25" spans="1:18" s="138" customFormat="1" ht="24" customHeight="1">
      <c r="A25" s="261" t="s">
        <v>43</v>
      </c>
      <c r="B25" s="247" t="e">
        <f t="shared" si="1"/>
        <v>#REF!</v>
      </c>
      <c r="C25" s="248" t="s">
        <v>5</v>
      </c>
      <c r="D25" s="249" t="e">
        <f t="shared" si="2"/>
        <v>#REF!</v>
      </c>
      <c r="E25" s="247" t="e">
        <f>'마산리집계표(당초)'!B24</f>
        <v>#REF!</v>
      </c>
      <c r="F25" s="248" t="s">
        <v>5</v>
      </c>
      <c r="G25" s="249" t="e">
        <f>'마산리집계표(당초)'!D24</f>
        <v>#REF!</v>
      </c>
      <c r="H25" s="247" t="e">
        <f>#REF!</f>
        <v>#REF!</v>
      </c>
      <c r="I25" s="248" t="s">
        <v>5</v>
      </c>
      <c r="J25" s="249" t="e">
        <f>#REF!</f>
        <v>#REF!</v>
      </c>
      <c r="K25" s="247">
        <f>신흥리집계표!B24</f>
        <v>0</v>
      </c>
      <c r="L25" s="248" t="s">
        <v>5</v>
      </c>
      <c r="M25" s="249">
        <f>신흥리집계표!D24</f>
        <v>0</v>
      </c>
      <c r="N25" s="247">
        <f>죽림리집계표!B24</f>
        <v>0</v>
      </c>
      <c r="O25" s="248" t="s">
        <v>5</v>
      </c>
      <c r="P25" s="254">
        <f>죽림리집계표!D24</f>
        <v>0</v>
      </c>
      <c r="R25" s="74" t="e">
        <f t="shared" si="0"/>
        <v>#REF!</v>
      </c>
    </row>
    <row r="26" spans="1:18" s="138" customFormat="1" ht="24" customHeight="1">
      <c r="A26" s="261" t="s">
        <v>44</v>
      </c>
      <c r="B26" s="247" t="e">
        <f t="shared" si="1"/>
        <v>#REF!</v>
      </c>
      <c r="C26" s="248" t="s">
        <v>5</v>
      </c>
      <c r="D26" s="249" t="e">
        <f t="shared" si="2"/>
        <v>#REF!</v>
      </c>
      <c r="E26" s="247" t="e">
        <f>'마산리집계표(당초)'!B25</f>
        <v>#REF!</v>
      </c>
      <c r="F26" s="248" t="s">
        <v>5</v>
      </c>
      <c r="G26" s="249" t="e">
        <f>'마산리집계표(당초)'!D25</f>
        <v>#REF!</v>
      </c>
      <c r="H26" s="247" t="e">
        <f>#REF!</f>
        <v>#REF!</v>
      </c>
      <c r="I26" s="248" t="s">
        <v>5</v>
      </c>
      <c r="J26" s="249" t="e">
        <f>#REF!</f>
        <v>#REF!</v>
      </c>
      <c r="K26" s="247">
        <f>신흥리집계표!B25</f>
        <v>0</v>
      </c>
      <c r="L26" s="248" t="s">
        <v>5</v>
      </c>
      <c r="M26" s="249">
        <f>신흥리집계표!D25</f>
        <v>0</v>
      </c>
      <c r="N26" s="247">
        <f>죽림리집계표!B25</f>
        <v>0</v>
      </c>
      <c r="O26" s="248" t="s">
        <v>5</v>
      </c>
      <c r="P26" s="254">
        <f>죽림리집계표!D25</f>
        <v>0</v>
      </c>
      <c r="R26" s="74" t="e">
        <f t="shared" si="0"/>
        <v>#REF!</v>
      </c>
    </row>
    <row r="27" spans="1:18" s="138" customFormat="1" ht="24" customHeight="1">
      <c r="A27" s="261" t="s">
        <v>45</v>
      </c>
      <c r="B27" s="247" t="e">
        <f t="shared" si="1"/>
        <v>#REF!</v>
      </c>
      <c r="C27" s="248" t="s">
        <v>5</v>
      </c>
      <c r="D27" s="249" t="e">
        <f t="shared" si="2"/>
        <v>#REF!</v>
      </c>
      <c r="E27" s="247" t="e">
        <f>'마산리집계표(당초)'!B26</f>
        <v>#REF!</v>
      </c>
      <c r="F27" s="248" t="s">
        <v>5</v>
      </c>
      <c r="G27" s="249" t="e">
        <f>'마산리집계표(당초)'!D26</f>
        <v>#REF!</v>
      </c>
      <c r="H27" s="247" t="e">
        <f>#REF!</f>
        <v>#REF!</v>
      </c>
      <c r="I27" s="248" t="s">
        <v>5</v>
      </c>
      <c r="J27" s="249" t="e">
        <f>#REF!</f>
        <v>#REF!</v>
      </c>
      <c r="K27" s="247">
        <f>신흥리집계표!B26</f>
        <v>0</v>
      </c>
      <c r="L27" s="248" t="s">
        <v>5</v>
      </c>
      <c r="M27" s="249">
        <f>신흥리집계표!D26</f>
        <v>0</v>
      </c>
      <c r="N27" s="247">
        <f>죽림리집계표!B26</f>
        <v>0</v>
      </c>
      <c r="O27" s="248" t="s">
        <v>5</v>
      </c>
      <c r="P27" s="254">
        <f>죽림리집계표!D26</f>
        <v>0</v>
      </c>
      <c r="R27" s="74" t="e">
        <f t="shared" si="0"/>
        <v>#REF!</v>
      </c>
    </row>
    <row r="28" spans="1:18" s="138" customFormat="1" ht="24" customHeight="1">
      <c r="A28" s="261" t="s">
        <v>60</v>
      </c>
      <c r="B28" s="247" t="e">
        <f t="shared" si="1"/>
        <v>#REF!</v>
      </c>
      <c r="C28" s="248" t="s">
        <v>5</v>
      </c>
      <c r="D28" s="249" t="e">
        <f t="shared" si="2"/>
        <v>#REF!</v>
      </c>
      <c r="E28" s="247" t="e">
        <f>'마산리집계표(당초)'!B27</f>
        <v>#REF!</v>
      </c>
      <c r="F28" s="248" t="s">
        <v>5</v>
      </c>
      <c r="G28" s="249" t="e">
        <f>'마산리집계표(당초)'!D27</f>
        <v>#REF!</v>
      </c>
      <c r="H28" s="247" t="e">
        <f>#REF!</f>
        <v>#REF!</v>
      </c>
      <c r="I28" s="248" t="s">
        <v>5</v>
      </c>
      <c r="J28" s="249" t="e">
        <f>#REF!</f>
        <v>#REF!</v>
      </c>
      <c r="K28" s="247">
        <f>신흥리집계표!B27</f>
        <v>0</v>
      </c>
      <c r="L28" s="248" t="s">
        <v>5</v>
      </c>
      <c r="M28" s="249">
        <f>신흥리집계표!D27</f>
        <v>0</v>
      </c>
      <c r="N28" s="247">
        <f>죽림리집계표!B27</f>
        <v>0</v>
      </c>
      <c r="O28" s="248" t="s">
        <v>5</v>
      </c>
      <c r="P28" s="254">
        <f>죽림리집계표!D27</f>
        <v>0</v>
      </c>
      <c r="R28" s="74" t="e">
        <f t="shared" si="0"/>
        <v>#REF!</v>
      </c>
    </row>
    <row r="29" spans="1:18" s="138" customFormat="1" ht="24" customHeight="1">
      <c r="A29" s="261" t="s">
        <v>56</v>
      </c>
      <c r="B29" s="247" t="e">
        <f t="shared" si="1"/>
        <v>#REF!</v>
      </c>
      <c r="C29" s="248" t="s">
        <v>5</v>
      </c>
      <c r="D29" s="249" t="e">
        <f t="shared" si="2"/>
        <v>#REF!</v>
      </c>
      <c r="E29" s="247" t="e">
        <f>'마산리집계표(당초)'!B28</f>
        <v>#REF!</v>
      </c>
      <c r="F29" s="248" t="s">
        <v>5</v>
      </c>
      <c r="G29" s="249" t="e">
        <f>'마산리집계표(당초)'!D28</f>
        <v>#REF!</v>
      </c>
      <c r="H29" s="247" t="e">
        <f>#REF!</f>
        <v>#REF!</v>
      </c>
      <c r="I29" s="248" t="s">
        <v>5</v>
      </c>
      <c r="J29" s="249" t="e">
        <f>#REF!</f>
        <v>#REF!</v>
      </c>
      <c r="K29" s="247">
        <f>신흥리집계표!B28</f>
        <v>0</v>
      </c>
      <c r="L29" s="248" t="s">
        <v>5</v>
      </c>
      <c r="M29" s="249">
        <f>신흥리집계표!D28</f>
        <v>0</v>
      </c>
      <c r="N29" s="247">
        <f>죽림리집계표!B28</f>
        <v>0</v>
      </c>
      <c r="O29" s="248" t="s">
        <v>5</v>
      </c>
      <c r="P29" s="254">
        <f>죽림리집계표!D28</f>
        <v>0</v>
      </c>
      <c r="R29" s="74" t="e">
        <f t="shared" si="0"/>
        <v>#REF!</v>
      </c>
    </row>
    <row r="30" spans="1:18" s="138" customFormat="1" ht="24" customHeight="1">
      <c r="A30" s="261" t="s">
        <v>57</v>
      </c>
      <c r="B30" s="247" t="e">
        <f t="shared" si="1"/>
        <v>#REF!</v>
      </c>
      <c r="C30" s="248" t="s">
        <v>5</v>
      </c>
      <c r="D30" s="249" t="e">
        <f t="shared" si="2"/>
        <v>#REF!</v>
      </c>
      <c r="E30" s="247" t="e">
        <f>'마산리집계표(당초)'!B29</f>
        <v>#REF!</v>
      </c>
      <c r="F30" s="248" t="s">
        <v>5</v>
      </c>
      <c r="G30" s="249" t="e">
        <f>'마산리집계표(당초)'!D29</f>
        <v>#REF!</v>
      </c>
      <c r="H30" s="247" t="e">
        <f>#REF!</f>
        <v>#REF!</v>
      </c>
      <c r="I30" s="248" t="s">
        <v>5</v>
      </c>
      <c r="J30" s="249" t="e">
        <f>#REF!</f>
        <v>#REF!</v>
      </c>
      <c r="K30" s="247">
        <f>신흥리집계표!B29</f>
        <v>0</v>
      </c>
      <c r="L30" s="248" t="s">
        <v>5</v>
      </c>
      <c r="M30" s="249">
        <f>신흥리집계표!D29</f>
        <v>0</v>
      </c>
      <c r="N30" s="247">
        <f>죽림리집계표!B29</f>
        <v>0</v>
      </c>
      <c r="O30" s="248" t="s">
        <v>5</v>
      </c>
      <c r="P30" s="254">
        <f>죽림리집계표!D29</f>
        <v>0</v>
      </c>
      <c r="R30" s="74" t="e">
        <f t="shared" si="0"/>
        <v>#REF!</v>
      </c>
    </row>
    <row r="31" spans="1:18" s="138" customFormat="1" ht="24" customHeight="1">
      <c r="A31" s="262" t="s">
        <v>24</v>
      </c>
      <c r="B31" s="250" t="e">
        <f t="shared" si="1"/>
        <v>#REF!</v>
      </c>
      <c r="C31" s="251" t="s">
        <v>5</v>
      </c>
      <c r="D31" s="252" t="e">
        <f t="shared" si="2"/>
        <v>#REF!</v>
      </c>
      <c r="E31" s="250" t="e">
        <f>'마산리집계표(당초)'!B30</f>
        <v>#REF!</v>
      </c>
      <c r="F31" s="251" t="s">
        <v>5</v>
      </c>
      <c r="G31" s="252" t="e">
        <f>'마산리집계표(당초)'!D30</f>
        <v>#REF!</v>
      </c>
      <c r="H31" s="247" t="e">
        <f>#REF!</f>
        <v>#REF!</v>
      </c>
      <c r="I31" s="251" t="s">
        <v>5</v>
      </c>
      <c r="J31" s="249" t="e">
        <f>#REF!</f>
        <v>#REF!</v>
      </c>
      <c r="K31" s="250">
        <f>신흥리집계표!B30</f>
        <v>0</v>
      </c>
      <c r="L31" s="251" t="s">
        <v>5</v>
      </c>
      <c r="M31" s="252">
        <f>신흥리집계표!D30</f>
        <v>0</v>
      </c>
      <c r="N31" s="250">
        <f>죽림리집계표!B30</f>
        <v>0</v>
      </c>
      <c r="O31" s="251" t="s">
        <v>5</v>
      </c>
      <c r="P31" s="255">
        <f>죽림리집계표!D30</f>
        <v>0</v>
      </c>
      <c r="Q31" s="137"/>
      <c r="R31" s="74" t="e">
        <f t="shared" si="0"/>
        <v>#REF!</v>
      </c>
    </row>
    <row r="32" spans="1:18" s="131" customFormat="1" ht="27.95" customHeight="1">
      <c r="A32" s="257" t="s">
        <v>0</v>
      </c>
      <c r="B32" s="144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R32" s="74"/>
    </row>
    <row r="33" spans="1:18" s="136" customFormat="1" ht="9.9499999999999993" customHeight="1">
      <c r="A33" s="263"/>
      <c r="B33" s="147"/>
      <c r="C33" s="146"/>
      <c r="D33" s="148"/>
      <c r="E33" s="147"/>
      <c r="F33" s="146"/>
      <c r="G33" s="148"/>
      <c r="H33" s="147"/>
      <c r="I33" s="146"/>
      <c r="J33" s="148"/>
      <c r="K33" s="147"/>
      <c r="L33" s="146"/>
      <c r="M33" s="148"/>
      <c r="N33" s="147"/>
      <c r="O33" s="146"/>
      <c r="P33" s="148"/>
      <c r="R33" s="74"/>
    </row>
    <row r="34" spans="1:18" s="138" customFormat="1" ht="20.100000000000001" customHeight="1">
      <c r="A34" s="447" t="s">
        <v>2</v>
      </c>
      <c r="B34" s="450" t="s">
        <v>3</v>
      </c>
      <c r="C34" s="450"/>
      <c r="D34" s="450"/>
      <c r="E34" s="273" t="str">
        <f>E3</f>
        <v>경기도 포천시 가산면</v>
      </c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5"/>
      <c r="Q34" s="137"/>
      <c r="R34" s="74"/>
    </row>
    <row r="35" spans="1:18" s="138" customFormat="1" ht="20.100000000000001" customHeight="1">
      <c r="A35" s="448"/>
      <c r="B35" s="451"/>
      <c r="C35" s="451"/>
      <c r="D35" s="451"/>
      <c r="E35" s="276" t="str">
        <f>E4</f>
        <v>마산리</v>
      </c>
      <c r="F35" s="277"/>
      <c r="G35" s="278"/>
      <c r="H35" s="276" t="str">
        <f>H4</f>
        <v>감암리</v>
      </c>
      <c r="I35" s="277"/>
      <c r="J35" s="278"/>
      <c r="K35" s="276">
        <f>K4</f>
        <v>0</v>
      </c>
      <c r="L35" s="277"/>
      <c r="M35" s="278"/>
      <c r="N35" s="276">
        <f>N4</f>
        <v>0</v>
      </c>
      <c r="O35" s="277"/>
      <c r="P35" s="280"/>
      <c r="Q35" s="137"/>
      <c r="R35" s="74"/>
    </row>
    <row r="36" spans="1:18" s="138" customFormat="1" ht="20.100000000000001" customHeight="1">
      <c r="A36" s="449"/>
      <c r="B36" s="266" t="s">
        <v>78</v>
      </c>
      <c r="C36" s="267" t="s">
        <v>5</v>
      </c>
      <c r="D36" s="268" t="s">
        <v>6</v>
      </c>
      <c r="E36" s="266" t="s">
        <v>4</v>
      </c>
      <c r="F36" s="267" t="s">
        <v>5</v>
      </c>
      <c r="G36" s="268" t="s">
        <v>6</v>
      </c>
      <c r="H36" s="266" t="s">
        <v>4</v>
      </c>
      <c r="I36" s="267" t="s">
        <v>5</v>
      </c>
      <c r="J36" s="268" t="s">
        <v>6</v>
      </c>
      <c r="K36" s="266" t="s">
        <v>4</v>
      </c>
      <c r="L36" s="267" t="s">
        <v>5</v>
      </c>
      <c r="M36" s="268" t="s">
        <v>6</v>
      </c>
      <c r="N36" s="266" t="s">
        <v>4</v>
      </c>
      <c r="O36" s="267" t="s">
        <v>5</v>
      </c>
      <c r="P36" s="269" t="s">
        <v>6</v>
      </c>
      <c r="Q36" s="137"/>
      <c r="R36" s="74"/>
    </row>
    <row r="37" spans="1:18" s="137" customFormat="1" ht="24" customHeight="1">
      <c r="A37" s="260" t="s">
        <v>3</v>
      </c>
      <c r="B37" s="270" t="e">
        <f>SUM(B38:B62)</f>
        <v>#REF!</v>
      </c>
      <c r="C37" s="271" t="s">
        <v>5</v>
      </c>
      <c r="D37" s="272" t="e">
        <f>SUM(D38:D62)</f>
        <v>#REF!</v>
      </c>
      <c r="E37" s="247" t="e">
        <f>'마산리집계표(당초)'!E5</f>
        <v>#REF!</v>
      </c>
      <c r="F37" s="248" t="s">
        <v>5</v>
      </c>
      <c r="G37" s="249" t="e">
        <f>'마산리집계표(당초)'!G5</f>
        <v>#REF!</v>
      </c>
      <c r="H37" s="247" t="e">
        <f>#REF!</f>
        <v>#REF!</v>
      </c>
      <c r="I37" s="248" t="s">
        <v>5</v>
      </c>
      <c r="J37" s="249" t="e">
        <f>#REF!</f>
        <v>#REF!</v>
      </c>
      <c r="K37" s="247">
        <f>신흥리집계표!E5</f>
        <v>0</v>
      </c>
      <c r="L37" s="248" t="s">
        <v>5</v>
      </c>
      <c r="M37" s="249">
        <f>신흥리집계표!G5</f>
        <v>0</v>
      </c>
      <c r="N37" s="247">
        <f>죽림리집계표!E5</f>
        <v>0</v>
      </c>
      <c r="O37" s="248" t="s">
        <v>5</v>
      </c>
      <c r="P37" s="254">
        <f>죽림리집계표!G5</f>
        <v>0</v>
      </c>
      <c r="R37" s="74" t="e">
        <f t="shared" si="0"/>
        <v>#REF!</v>
      </c>
    </row>
    <row r="38" spans="1:18" s="137" customFormat="1" ht="24" customHeight="1">
      <c r="A38" s="260" t="s">
        <v>7</v>
      </c>
      <c r="B38" s="247" t="e">
        <f>SUM(E38,H38,K38,N38)</f>
        <v>#REF!</v>
      </c>
      <c r="C38" s="248" t="s">
        <v>5</v>
      </c>
      <c r="D38" s="249" t="e">
        <f>SUM(G38,J38,M38,P38)</f>
        <v>#REF!</v>
      </c>
      <c r="E38" s="247" t="e">
        <f>'마산리집계표(당초)'!E6</f>
        <v>#REF!</v>
      </c>
      <c r="F38" s="248" t="s">
        <v>5</v>
      </c>
      <c r="G38" s="249" t="e">
        <f>'마산리집계표(당초)'!G6</f>
        <v>#REF!</v>
      </c>
      <c r="H38" s="247" t="e">
        <f>#REF!</f>
        <v>#REF!</v>
      </c>
      <c r="I38" s="248" t="s">
        <v>5</v>
      </c>
      <c r="J38" s="249" t="e">
        <f>#REF!</f>
        <v>#REF!</v>
      </c>
      <c r="K38" s="247">
        <f>신흥리집계표!E6</f>
        <v>0</v>
      </c>
      <c r="L38" s="248" t="s">
        <v>5</v>
      </c>
      <c r="M38" s="249">
        <f>신흥리집계표!G6</f>
        <v>0</v>
      </c>
      <c r="N38" s="247">
        <f>죽림리집계표!E6</f>
        <v>0</v>
      </c>
      <c r="O38" s="248" t="s">
        <v>5</v>
      </c>
      <c r="P38" s="254">
        <f>죽림리집계표!G6</f>
        <v>0</v>
      </c>
      <c r="R38" s="74" t="e">
        <f t="shared" si="0"/>
        <v>#REF!</v>
      </c>
    </row>
    <row r="39" spans="1:18" s="137" customFormat="1" ht="24" customHeight="1">
      <c r="A39" s="260" t="s">
        <v>8</v>
      </c>
      <c r="B39" s="247" t="e">
        <f t="shared" ref="B39:B62" si="3">SUM(E39,H39,K39,N39)</f>
        <v>#REF!</v>
      </c>
      <c r="C39" s="248" t="s">
        <v>5</v>
      </c>
      <c r="D39" s="249" t="e">
        <f t="shared" ref="D39:D62" si="4">SUM(G39,J39,M39,P39)</f>
        <v>#REF!</v>
      </c>
      <c r="E39" s="247" t="e">
        <f>'마산리집계표(당초)'!E7</f>
        <v>#REF!</v>
      </c>
      <c r="F39" s="248" t="s">
        <v>5</v>
      </c>
      <c r="G39" s="249" t="e">
        <f>'마산리집계표(당초)'!G7</f>
        <v>#REF!</v>
      </c>
      <c r="H39" s="247" t="e">
        <f>#REF!</f>
        <v>#REF!</v>
      </c>
      <c r="I39" s="248" t="s">
        <v>5</v>
      </c>
      <c r="J39" s="249" t="e">
        <f>#REF!</f>
        <v>#REF!</v>
      </c>
      <c r="K39" s="247">
        <f>신흥리집계표!E7</f>
        <v>0</v>
      </c>
      <c r="L39" s="248" t="s">
        <v>5</v>
      </c>
      <c r="M39" s="249">
        <f>신흥리집계표!G7</f>
        <v>0</v>
      </c>
      <c r="N39" s="247">
        <f>죽림리집계표!E7</f>
        <v>0</v>
      </c>
      <c r="O39" s="248" t="s">
        <v>5</v>
      </c>
      <c r="P39" s="254">
        <f>죽림리집계표!G7</f>
        <v>0</v>
      </c>
      <c r="R39" s="74" t="e">
        <f t="shared" si="0"/>
        <v>#REF!</v>
      </c>
    </row>
    <row r="40" spans="1:18" s="137" customFormat="1" ht="24" customHeight="1">
      <c r="A40" s="260" t="s">
        <v>9</v>
      </c>
      <c r="B40" s="247" t="e">
        <f t="shared" si="3"/>
        <v>#REF!</v>
      </c>
      <c r="C40" s="248" t="s">
        <v>5</v>
      </c>
      <c r="D40" s="249" t="e">
        <f t="shared" si="4"/>
        <v>#REF!</v>
      </c>
      <c r="E40" s="247" t="e">
        <f>'마산리집계표(당초)'!E8</f>
        <v>#REF!</v>
      </c>
      <c r="F40" s="248" t="s">
        <v>5</v>
      </c>
      <c r="G40" s="249" t="e">
        <f>'마산리집계표(당초)'!G8</f>
        <v>#REF!</v>
      </c>
      <c r="H40" s="247" t="e">
        <f>#REF!</f>
        <v>#REF!</v>
      </c>
      <c r="I40" s="248" t="s">
        <v>5</v>
      </c>
      <c r="J40" s="249" t="e">
        <f>#REF!</f>
        <v>#REF!</v>
      </c>
      <c r="K40" s="247">
        <f>신흥리집계표!E8</f>
        <v>0</v>
      </c>
      <c r="L40" s="248" t="s">
        <v>5</v>
      </c>
      <c r="M40" s="249">
        <f>신흥리집계표!G8</f>
        <v>0</v>
      </c>
      <c r="N40" s="247">
        <f>죽림리집계표!E8</f>
        <v>0</v>
      </c>
      <c r="O40" s="248" t="s">
        <v>5</v>
      </c>
      <c r="P40" s="254">
        <f>죽림리집계표!G8</f>
        <v>0</v>
      </c>
      <c r="R40" s="74" t="e">
        <f t="shared" si="0"/>
        <v>#REF!</v>
      </c>
    </row>
    <row r="41" spans="1:18" s="137" customFormat="1" ht="24" customHeight="1">
      <c r="A41" s="260" t="s">
        <v>10</v>
      </c>
      <c r="B41" s="247" t="e">
        <f t="shared" si="3"/>
        <v>#REF!</v>
      </c>
      <c r="C41" s="248" t="s">
        <v>5</v>
      </c>
      <c r="D41" s="249" t="e">
        <f t="shared" si="4"/>
        <v>#REF!</v>
      </c>
      <c r="E41" s="247" t="e">
        <f>'마산리집계표(당초)'!E9</f>
        <v>#REF!</v>
      </c>
      <c r="F41" s="248" t="s">
        <v>5</v>
      </c>
      <c r="G41" s="249" t="e">
        <f>'마산리집계표(당초)'!G9</f>
        <v>#REF!</v>
      </c>
      <c r="H41" s="247" t="e">
        <f>#REF!</f>
        <v>#REF!</v>
      </c>
      <c r="I41" s="248" t="s">
        <v>5</v>
      </c>
      <c r="J41" s="249" t="e">
        <f>#REF!</f>
        <v>#REF!</v>
      </c>
      <c r="K41" s="247">
        <f>신흥리집계표!E9</f>
        <v>0</v>
      </c>
      <c r="L41" s="248" t="s">
        <v>5</v>
      </c>
      <c r="M41" s="249">
        <f>신흥리집계표!G9</f>
        <v>0</v>
      </c>
      <c r="N41" s="247">
        <f>죽림리집계표!E9</f>
        <v>0</v>
      </c>
      <c r="O41" s="248" t="s">
        <v>5</v>
      </c>
      <c r="P41" s="254">
        <f>죽림리집계표!G9</f>
        <v>0</v>
      </c>
      <c r="R41" s="74" t="e">
        <f t="shared" si="0"/>
        <v>#REF!</v>
      </c>
    </row>
    <row r="42" spans="1:18" s="137" customFormat="1" ht="24" customHeight="1">
      <c r="A42" s="260" t="s">
        <v>11</v>
      </c>
      <c r="B42" s="247" t="e">
        <f t="shared" si="3"/>
        <v>#REF!</v>
      </c>
      <c r="C42" s="248" t="s">
        <v>5</v>
      </c>
      <c r="D42" s="249" t="e">
        <f t="shared" si="4"/>
        <v>#REF!</v>
      </c>
      <c r="E42" s="247" t="e">
        <f>'마산리집계표(당초)'!E10</f>
        <v>#REF!</v>
      </c>
      <c r="F42" s="248" t="s">
        <v>5</v>
      </c>
      <c r="G42" s="249" t="e">
        <f>'마산리집계표(당초)'!G10</f>
        <v>#REF!</v>
      </c>
      <c r="H42" s="247" t="e">
        <f>#REF!</f>
        <v>#REF!</v>
      </c>
      <c r="I42" s="248" t="s">
        <v>5</v>
      </c>
      <c r="J42" s="249" t="e">
        <f>#REF!</f>
        <v>#REF!</v>
      </c>
      <c r="K42" s="247">
        <f>신흥리집계표!E10</f>
        <v>0</v>
      </c>
      <c r="L42" s="248" t="s">
        <v>5</v>
      </c>
      <c r="M42" s="249">
        <f>신흥리집계표!G10</f>
        <v>0</v>
      </c>
      <c r="N42" s="247">
        <f>죽림리집계표!E10</f>
        <v>0</v>
      </c>
      <c r="O42" s="248" t="s">
        <v>5</v>
      </c>
      <c r="P42" s="254">
        <f>죽림리집계표!G10</f>
        <v>0</v>
      </c>
      <c r="R42" s="74" t="e">
        <f t="shared" si="0"/>
        <v>#REF!</v>
      </c>
    </row>
    <row r="43" spans="1:18" s="137" customFormat="1" ht="24" customHeight="1">
      <c r="A43" s="260" t="s">
        <v>13</v>
      </c>
      <c r="B43" s="247" t="e">
        <f t="shared" si="3"/>
        <v>#REF!</v>
      </c>
      <c r="C43" s="248" t="s">
        <v>5</v>
      </c>
      <c r="D43" s="249" t="e">
        <f t="shared" si="4"/>
        <v>#REF!</v>
      </c>
      <c r="E43" s="247" t="e">
        <f>'마산리집계표(당초)'!E11</f>
        <v>#REF!</v>
      </c>
      <c r="F43" s="248" t="s">
        <v>5</v>
      </c>
      <c r="G43" s="249" t="e">
        <f>'마산리집계표(당초)'!G11</f>
        <v>#REF!</v>
      </c>
      <c r="H43" s="247" t="e">
        <f>#REF!</f>
        <v>#REF!</v>
      </c>
      <c r="I43" s="248" t="s">
        <v>5</v>
      </c>
      <c r="J43" s="249" t="e">
        <f>#REF!</f>
        <v>#REF!</v>
      </c>
      <c r="K43" s="247">
        <f>신흥리집계표!E11</f>
        <v>0</v>
      </c>
      <c r="L43" s="248" t="s">
        <v>5</v>
      </c>
      <c r="M43" s="249">
        <f>신흥리집계표!G11</f>
        <v>0</v>
      </c>
      <c r="N43" s="247">
        <f>죽림리집계표!E11</f>
        <v>0</v>
      </c>
      <c r="O43" s="248" t="s">
        <v>5</v>
      </c>
      <c r="P43" s="254">
        <f>죽림리집계표!G11</f>
        <v>0</v>
      </c>
      <c r="R43" s="74" t="e">
        <f t="shared" si="0"/>
        <v>#REF!</v>
      </c>
    </row>
    <row r="44" spans="1:18" s="137" customFormat="1" ht="24" customHeight="1">
      <c r="A44" s="260" t="s">
        <v>12</v>
      </c>
      <c r="B44" s="247" t="e">
        <f t="shared" si="3"/>
        <v>#REF!</v>
      </c>
      <c r="C44" s="248" t="s">
        <v>5</v>
      </c>
      <c r="D44" s="249" t="e">
        <f t="shared" si="4"/>
        <v>#REF!</v>
      </c>
      <c r="E44" s="247" t="e">
        <f>'마산리집계표(당초)'!E12</f>
        <v>#REF!</v>
      </c>
      <c r="F44" s="248" t="s">
        <v>5</v>
      </c>
      <c r="G44" s="249" t="e">
        <f>'마산리집계표(당초)'!G12</f>
        <v>#REF!</v>
      </c>
      <c r="H44" s="247" t="e">
        <f>#REF!</f>
        <v>#REF!</v>
      </c>
      <c r="I44" s="248" t="s">
        <v>5</v>
      </c>
      <c r="J44" s="249" t="e">
        <f>#REF!</f>
        <v>#REF!</v>
      </c>
      <c r="K44" s="247">
        <f>신흥리집계표!E12</f>
        <v>0</v>
      </c>
      <c r="L44" s="248" t="s">
        <v>5</v>
      </c>
      <c r="M44" s="249">
        <f>신흥리집계표!G12</f>
        <v>0</v>
      </c>
      <c r="N44" s="247">
        <f>죽림리집계표!E12</f>
        <v>0</v>
      </c>
      <c r="O44" s="248" t="s">
        <v>5</v>
      </c>
      <c r="P44" s="254">
        <f>죽림리집계표!G12</f>
        <v>0</v>
      </c>
      <c r="R44" s="74" t="e">
        <f t="shared" si="0"/>
        <v>#REF!</v>
      </c>
    </row>
    <row r="45" spans="1:18" s="137" customFormat="1" ht="24" customHeight="1">
      <c r="A45" s="260" t="s">
        <v>15</v>
      </c>
      <c r="B45" s="247" t="e">
        <f t="shared" si="3"/>
        <v>#REF!</v>
      </c>
      <c r="C45" s="248" t="s">
        <v>5</v>
      </c>
      <c r="D45" s="249" t="e">
        <f t="shared" si="4"/>
        <v>#REF!</v>
      </c>
      <c r="E45" s="247" t="e">
        <f>'마산리집계표(당초)'!E13</f>
        <v>#REF!</v>
      </c>
      <c r="F45" s="248" t="s">
        <v>5</v>
      </c>
      <c r="G45" s="249" t="e">
        <f>'마산리집계표(당초)'!G13</f>
        <v>#REF!</v>
      </c>
      <c r="H45" s="247" t="e">
        <f>#REF!</f>
        <v>#REF!</v>
      </c>
      <c r="I45" s="248" t="s">
        <v>5</v>
      </c>
      <c r="J45" s="249" t="e">
        <f>#REF!</f>
        <v>#REF!</v>
      </c>
      <c r="K45" s="247">
        <f>신흥리집계표!E13</f>
        <v>0</v>
      </c>
      <c r="L45" s="248" t="s">
        <v>5</v>
      </c>
      <c r="M45" s="249">
        <f>신흥리집계표!G13</f>
        <v>0</v>
      </c>
      <c r="N45" s="247">
        <f>죽림리집계표!E13</f>
        <v>0</v>
      </c>
      <c r="O45" s="248" t="s">
        <v>5</v>
      </c>
      <c r="P45" s="254">
        <f>죽림리집계표!G13</f>
        <v>0</v>
      </c>
      <c r="R45" s="74" t="e">
        <f t="shared" si="0"/>
        <v>#REF!</v>
      </c>
    </row>
    <row r="46" spans="1:18" s="137" customFormat="1" ht="24" customHeight="1">
      <c r="A46" s="260" t="s">
        <v>14</v>
      </c>
      <c r="B46" s="247" t="e">
        <f t="shared" si="3"/>
        <v>#REF!</v>
      </c>
      <c r="C46" s="248" t="s">
        <v>5</v>
      </c>
      <c r="D46" s="249" t="e">
        <f t="shared" si="4"/>
        <v>#REF!</v>
      </c>
      <c r="E46" s="247" t="e">
        <f>'마산리집계표(당초)'!E14</f>
        <v>#REF!</v>
      </c>
      <c r="F46" s="248" t="s">
        <v>5</v>
      </c>
      <c r="G46" s="249" t="e">
        <f>'마산리집계표(당초)'!G14</f>
        <v>#REF!</v>
      </c>
      <c r="H46" s="247" t="e">
        <f>#REF!</f>
        <v>#REF!</v>
      </c>
      <c r="I46" s="248" t="s">
        <v>5</v>
      </c>
      <c r="J46" s="249" t="e">
        <f>#REF!</f>
        <v>#REF!</v>
      </c>
      <c r="K46" s="247">
        <f>신흥리집계표!E14</f>
        <v>0</v>
      </c>
      <c r="L46" s="248" t="s">
        <v>5</v>
      </c>
      <c r="M46" s="249">
        <f>신흥리집계표!G14</f>
        <v>0</v>
      </c>
      <c r="N46" s="247">
        <f>죽림리집계표!E14</f>
        <v>0</v>
      </c>
      <c r="O46" s="248" t="s">
        <v>5</v>
      </c>
      <c r="P46" s="254">
        <f>죽림리집계표!G14</f>
        <v>0</v>
      </c>
      <c r="R46" s="74" t="e">
        <f t="shared" si="0"/>
        <v>#REF!</v>
      </c>
    </row>
    <row r="47" spans="1:18" s="137" customFormat="1" ht="24" customHeight="1">
      <c r="A47" s="260" t="s">
        <v>16</v>
      </c>
      <c r="B47" s="247" t="e">
        <f t="shared" si="3"/>
        <v>#REF!</v>
      </c>
      <c r="C47" s="248" t="s">
        <v>5</v>
      </c>
      <c r="D47" s="249" t="e">
        <f t="shared" si="4"/>
        <v>#REF!</v>
      </c>
      <c r="E47" s="247" t="e">
        <f>'마산리집계표(당초)'!E15</f>
        <v>#REF!</v>
      </c>
      <c r="F47" s="248" t="s">
        <v>5</v>
      </c>
      <c r="G47" s="249" t="e">
        <f>'마산리집계표(당초)'!G15</f>
        <v>#REF!</v>
      </c>
      <c r="H47" s="247" t="e">
        <f>#REF!</f>
        <v>#REF!</v>
      </c>
      <c r="I47" s="248" t="s">
        <v>5</v>
      </c>
      <c r="J47" s="249" t="e">
        <f>#REF!</f>
        <v>#REF!</v>
      </c>
      <c r="K47" s="247">
        <f>신흥리집계표!E15</f>
        <v>0</v>
      </c>
      <c r="L47" s="248" t="s">
        <v>5</v>
      </c>
      <c r="M47" s="249">
        <f>신흥리집계표!G15</f>
        <v>0</v>
      </c>
      <c r="N47" s="247">
        <f>죽림리집계표!E15</f>
        <v>0</v>
      </c>
      <c r="O47" s="248" t="s">
        <v>5</v>
      </c>
      <c r="P47" s="254">
        <f>죽림리집계표!G15</f>
        <v>0</v>
      </c>
      <c r="R47" s="74" t="e">
        <f t="shared" si="0"/>
        <v>#REF!</v>
      </c>
    </row>
    <row r="48" spans="1:18" s="137" customFormat="1" ht="24" customHeight="1">
      <c r="A48" s="260" t="s">
        <v>21</v>
      </c>
      <c r="B48" s="247" t="e">
        <f t="shared" si="3"/>
        <v>#REF!</v>
      </c>
      <c r="C48" s="248" t="s">
        <v>5</v>
      </c>
      <c r="D48" s="249" t="e">
        <f t="shared" si="4"/>
        <v>#REF!</v>
      </c>
      <c r="E48" s="247" t="e">
        <f>'마산리집계표(당초)'!E16</f>
        <v>#REF!</v>
      </c>
      <c r="F48" s="248" t="s">
        <v>5</v>
      </c>
      <c r="G48" s="249" t="e">
        <f>'마산리집계표(당초)'!G16</f>
        <v>#REF!</v>
      </c>
      <c r="H48" s="247" t="e">
        <f>#REF!</f>
        <v>#REF!</v>
      </c>
      <c r="I48" s="248" t="s">
        <v>5</v>
      </c>
      <c r="J48" s="249" t="e">
        <f>#REF!</f>
        <v>#REF!</v>
      </c>
      <c r="K48" s="247">
        <f>신흥리집계표!E16</f>
        <v>0</v>
      </c>
      <c r="L48" s="248" t="s">
        <v>5</v>
      </c>
      <c r="M48" s="249">
        <f>신흥리집계표!G16</f>
        <v>0</v>
      </c>
      <c r="N48" s="247">
        <f>죽림리집계표!E16</f>
        <v>0</v>
      </c>
      <c r="O48" s="248" t="s">
        <v>5</v>
      </c>
      <c r="P48" s="254">
        <f>죽림리집계표!G16</f>
        <v>0</v>
      </c>
      <c r="R48" s="74" t="e">
        <f t="shared" si="0"/>
        <v>#REF!</v>
      </c>
    </row>
    <row r="49" spans="1:18" s="137" customFormat="1" ht="24" customHeight="1">
      <c r="A49" s="260" t="s">
        <v>18</v>
      </c>
      <c r="B49" s="247" t="e">
        <f t="shared" si="3"/>
        <v>#REF!</v>
      </c>
      <c r="C49" s="248" t="s">
        <v>5</v>
      </c>
      <c r="D49" s="249" t="e">
        <f t="shared" si="4"/>
        <v>#REF!</v>
      </c>
      <c r="E49" s="247" t="e">
        <f>'마산리집계표(당초)'!E17</f>
        <v>#REF!</v>
      </c>
      <c r="F49" s="248" t="s">
        <v>5</v>
      </c>
      <c r="G49" s="249" t="e">
        <f>'마산리집계표(당초)'!G17</f>
        <v>#REF!</v>
      </c>
      <c r="H49" s="247" t="e">
        <f>#REF!</f>
        <v>#REF!</v>
      </c>
      <c r="I49" s="248" t="s">
        <v>5</v>
      </c>
      <c r="J49" s="249" t="e">
        <f>#REF!</f>
        <v>#REF!</v>
      </c>
      <c r="K49" s="247">
        <f>신흥리집계표!E17</f>
        <v>0</v>
      </c>
      <c r="L49" s="248" t="s">
        <v>5</v>
      </c>
      <c r="M49" s="249">
        <f>신흥리집계표!G17</f>
        <v>0</v>
      </c>
      <c r="N49" s="247">
        <f>죽림리집계표!E17</f>
        <v>0</v>
      </c>
      <c r="O49" s="248" t="s">
        <v>5</v>
      </c>
      <c r="P49" s="254">
        <f>죽림리집계표!G17</f>
        <v>0</v>
      </c>
      <c r="R49" s="74" t="e">
        <f t="shared" si="0"/>
        <v>#REF!</v>
      </c>
    </row>
    <row r="50" spans="1:18" s="137" customFormat="1" ht="24" customHeight="1">
      <c r="A50" s="260" t="s">
        <v>23</v>
      </c>
      <c r="B50" s="247" t="e">
        <f t="shared" si="3"/>
        <v>#REF!</v>
      </c>
      <c r="C50" s="248" t="s">
        <v>5</v>
      </c>
      <c r="D50" s="249" t="e">
        <f t="shared" si="4"/>
        <v>#REF!</v>
      </c>
      <c r="E50" s="247" t="e">
        <f>'마산리집계표(당초)'!E18</f>
        <v>#REF!</v>
      </c>
      <c r="F50" s="248" t="s">
        <v>5</v>
      </c>
      <c r="G50" s="249" t="e">
        <f>'마산리집계표(당초)'!G18</f>
        <v>#REF!</v>
      </c>
      <c r="H50" s="247" t="e">
        <f>#REF!</f>
        <v>#REF!</v>
      </c>
      <c r="I50" s="248" t="s">
        <v>5</v>
      </c>
      <c r="J50" s="249" t="e">
        <f>#REF!</f>
        <v>#REF!</v>
      </c>
      <c r="K50" s="247">
        <f>신흥리집계표!E18</f>
        <v>0</v>
      </c>
      <c r="L50" s="248" t="s">
        <v>5</v>
      </c>
      <c r="M50" s="249">
        <f>신흥리집계표!G18</f>
        <v>0</v>
      </c>
      <c r="N50" s="247">
        <f>죽림리집계표!E18</f>
        <v>0</v>
      </c>
      <c r="O50" s="248" t="s">
        <v>5</v>
      </c>
      <c r="P50" s="254">
        <f>죽림리집계표!G18</f>
        <v>0</v>
      </c>
      <c r="R50" s="74" t="e">
        <f t="shared" si="0"/>
        <v>#REF!</v>
      </c>
    </row>
    <row r="51" spans="1:18" s="137" customFormat="1" ht="24" customHeight="1">
      <c r="A51" s="260" t="s">
        <v>41</v>
      </c>
      <c r="B51" s="247" t="e">
        <f t="shared" si="3"/>
        <v>#REF!</v>
      </c>
      <c r="C51" s="248" t="s">
        <v>5</v>
      </c>
      <c r="D51" s="249" t="e">
        <f t="shared" si="4"/>
        <v>#REF!</v>
      </c>
      <c r="E51" s="247" t="e">
        <f>'마산리집계표(당초)'!E19</f>
        <v>#REF!</v>
      </c>
      <c r="F51" s="248" t="s">
        <v>5</v>
      </c>
      <c r="G51" s="249" t="e">
        <f>'마산리집계표(당초)'!G19</f>
        <v>#REF!</v>
      </c>
      <c r="H51" s="247" t="e">
        <f>#REF!</f>
        <v>#REF!</v>
      </c>
      <c r="I51" s="248" t="s">
        <v>5</v>
      </c>
      <c r="J51" s="249" t="e">
        <f>#REF!</f>
        <v>#REF!</v>
      </c>
      <c r="K51" s="247">
        <f>신흥리집계표!E19</f>
        <v>0</v>
      </c>
      <c r="L51" s="248" t="s">
        <v>5</v>
      </c>
      <c r="M51" s="249">
        <f>신흥리집계표!G19</f>
        <v>0</v>
      </c>
      <c r="N51" s="247">
        <f>죽림리집계표!E19</f>
        <v>0</v>
      </c>
      <c r="O51" s="248" t="s">
        <v>5</v>
      </c>
      <c r="P51" s="254">
        <f>죽림리집계표!G19</f>
        <v>0</v>
      </c>
      <c r="R51" s="74" t="e">
        <f t="shared" si="0"/>
        <v>#REF!</v>
      </c>
    </row>
    <row r="52" spans="1:18" s="137" customFormat="1" ht="24" customHeight="1">
      <c r="A52" s="260" t="s">
        <v>17</v>
      </c>
      <c r="B52" s="247" t="e">
        <f t="shared" si="3"/>
        <v>#REF!</v>
      </c>
      <c r="C52" s="248" t="s">
        <v>5</v>
      </c>
      <c r="D52" s="249" t="e">
        <f t="shared" si="4"/>
        <v>#REF!</v>
      </c>
      <c r="E52" s="247" t="e">
        <f>'마산리집계표(당초)'!E20</f>
        <v>#REF!</v>
      </c>
      <c r="F52" s="248" t="s">
        <v>5</v>
      </c>
      <c r="G52" s="249" t="e">
        <f>'마산리집계표(당초)'!G20</f>
        <v>#REF!</v>
      </c>
      <c r="H52" s="247" t="e">
        <f>#REF!</f>
        <v>#REF!</v>
      </c>
      <c r="I52" s="248" t="s">
        <v>5</v>
      </c>
      <c r="J52" s="249" t="e">
        <f>#REF!</f>
        <v>#REF!</v>
      </c>
      <c r="K52" s="247">
        <f>신흥리집계표!E20</f>
        <v>0</v>
      </c>
      <c r="L52" s="248" t="s">
        <v>5</v>
      </c>
      <c r="M52" s="249">
        <f>신흥리집계표!G20</f>
        <v>0</v>
      </c>
      <c r="N52" s="247">
        <f>죽림리집계표!E20</f>
        <v>0</v>
      </c>
      <c r="O52" s="248" t="s">
        <v>5</v>
      </c>
      <c r="P52" s="254">
        <f>죽림리집계표!G20</f>
        <v>0</v>
      </c>
      <c r="R52" s="74" t="e">
        <f t="shared" si="0"/>
        <v>#REF!</v>
      </c>
    </row>
    <row r="53" spans="1:18" s="137" customFormat="1" ht="24" customHeight="1">
      <c r="A53" s="260" t="s">
        <v>20</v>
      </c>
      <c r="B53" s="247" t="e">
        <f t="shared" si="3"/>
        <v>#REF!</v>
      </c>
      <c r="C53" s="248" t="s">
        <v>5</v>
      </c>
      <c r="D53" s="249" t="e">
        <f t="shared" si="4"/>
        <v>#REF!</v>
      </c>
      <c r="E53" s="247" t="e">
        <f>'마산리집계표(당초)'!E21</f>
        <v>#REF!</v>
      </c>
      <c r="F53" s="248" t="s">
        <v>5</v>
      </c>
      <c r="G53" s="249" t="e">
        <f>'마산리집계표(당초)'!G21</f>
        <v>#REF!</v>
      </c>
      <c r="H53" s="247" t="e">
        <f>#REF!</f>
        <v>#REF!</v>
      </c>
      <c r="I53" s="248" t="s">
        <v>5</v>
      </c>
      <c r="J53" s="249" t="e">
        <f>#REF!</f>
        <v>#REF!</v>
      </c>
      <c r="K53" s="247">
        <f>신흥리집계표!E21</f>
        <v>0</v>
      </c>
      <c r="L53" s="248" t="s">
        <v>5</v>
      </c>
      <c r="M53" s="249">
        <f>신흥리집계표!G21</f>
        <v>0</v>
      </c>
      <c r="N53" s="247">
        <f>죽림리집계표!E21</f>
        <v>0</v>
      </c>
      <c r="O53" s="248" t="s">
        <v>5</v>
      </c>
      <c r="P53" s="254">
        <f>죽림리집계표!G21</f>
        <v>0</v>
      </c>
      <c r="R53" s="74" t="e">
        <f t="shared" si="0"/>
        <v>#REF!</v>
      </c>
    </row>
    <row r="54" spans="1:18" s="137" customFormat="1" ht="24" customHeight="1">
      <c r="A54" s="260" t="s">
        <v>19</v>
      </c>
      <c r="B54" s="247" t="e">
        <f t="shared" si="3"/>
        <v>#REF!</v>
      </c>
      <c r="C54" s="248" t="s">
        <v>5</v>
      </c>
      <c r="D54" s="249" t="e">
        <f t="shared" si="4"/>
        <v>#REF!</v>
      </c>
      <c r="E54" s="247" t="e">
        <f>'마산리집계표(당초)'!E22</f>
        <v>#REF!</v>
      </c>
      <c r="F54" s="248" t="s">
        <v>5</v>
      </c>
      <c r="G54" s="249" t="e">
        <f>'마산리집계표(당초)'!G22</f>
        <v>#REF!</v>
      </c>
      <c r="H54" s="247" t="e">
        <f>#REF!</f>
        <v>#REF!</v>
      </c>
      <c r="I54" s="248" t="s">
        <v>5</v>
      </c>
      <c r="J54" s="249" t="e">
        <f>#REF!</f>
        <v>#REF!</v>
      </c>
      <c r="K54" s="247">
        <f>신흥리집계표!E22</f>
        <v>0</v>
      </c>
      <c r="L54" s="248" t="s">
        <v>5</v>
      </c>
      <c r="M54" s="249">
        <f>신흥리집계표!G22</f>
        <v>0</v>
      </c>
      <c r="N54" s="247">
        <f>죽림리집계표!E22</f>
        <v>0</v>
      </c>
      <c r="O54" s="248" t="s">
        <v>5</v>
      </c>
      <c r="P54" s="254">
        <f>죽림리집계표!G22</f>
        <v>0</v>
      </c>
      <c r="R54" s="74" t="e">
        <f t="shared" si="0"/>
        <v>#REF!</v>
      </c>
    </row>
    <row r="55" spans="1:18" s="137" customFormat="1" ht="24" customHeight="1">
      <c r="A55" s="261" t="s">
        <v>42</v>
      </c>
      <c r="B55" s="247" t="e">
        <f t="shared" si="3"/>
        <v>#REF!</v>
      </c>
      <c r="C55" s="248" t="s">
        <v>5</v>
      </c>
      <c r="D55" s="249" t="e">
        <f t="shared" si="4"/>
        <v>#REF!</v>
      </c>
      <c r="E55" s="247" t="e">
        <f>'마산리집계표(당초)'!E23</f>
        <v>#REF!</v>
      </c>
      <c r="F55" s="248" t="s">
        <v>5</v>
      </c>
      <c r="G55" s="249" t="e">
        <f>'마산리집계표(당초)'!G23</f>
        <v>#REF!</v>
      </c>
      <c r="H55" s="247" t="e">
        <f>#REF!</f>
        <v>#REF!</v>
      </c>
      <c r="I55" s="248" t="s">
        <v>5</v>
      </c>
      <c r="J55" s="249" t="e">
        <f>#REF!</f>
        <v>#REF!</v>
      </c>
      <c r="K55" s="247">
        <f>신흥리집계표!E23</f>
        <v>0</v>
      </c>
      <c r="L55" s="248" t="s">
        <v>5</v>
      </c>
      <c r="M55" s="249">
        <f>신흥리집계표!G23</f>
        <v>0</v>
      </c>
      <c r="N55" s="247">
        <f>죽림리집계표!E23</f>
        <v>0</v>
      </c>
      <c r="O55" s="248" t="s">
        <v>5</v>
      </c>
      <c r="P55" s="254">
        <f>죽림리집계표!G23</f>
        <v>0</v>
      </c>
      <c r="R55" s="74" t="e">
        <f t="shared" si="0"/>
        <v>#REF!</v>
      </c>
    </row>
    <row r="56" spans="1:18" s="137" customFormat="1" ht="24" customHeight="1">
      <c r="A56" s="261" t="s">
        <v>43</v>
      </c>
      <c r="B56" s="247" t="e">
        <f t="shared" si="3"/>
        <v>#REF!</v>
      </c>
      <c r="C56" s="248" t="s">
        <v>5</v>
      </c>
      <c r="D56" s="249" t="e">
        <f t="shared" si="4"/>
        <v>#REF!</v>
      </c>
      <c r="E56" s="247" t="e">
        <f>'마산리집계표(당초)'!E24</f>
        <v>#REF!</v>
      </c>
      <c r="F56" s="248" t="s">
        <v>5</v>
      </c>
      <c r="G56" s="249" t="e">
        <f>'마산리집계표(당초)'!G24</f>
        <v>#REF!</v>
      </c>
      <c r="H56" s="247" t="e">
        <f>#REF!</f>
        <v>#REF!</v>
      </c>
      <c r="I56" s="248" t="s">
        <v>5</v>
      </c>
      <c r="J56" s="249" t="e">
        <f>#REF!</f>
        <v>#REF!</v>
      </c>
      <c r="K56" s="247">
        <f>신흥리집계표!E24</f>
        <v>0</v>
      </c>
      <c r="L56" s="248" t="s">
        <v>5</v>
      </c>
      <c r="M56" s="249">
        <f>신흥리집계표!G24</f>
        <v>0</v>
      </c>
      <c r="N56" s="247">
        <f>죽림리집계표!E24</f>
        <v>0</v>
      </c>
      <c r="O56" s="248" t="s">
        <v>5</v>
      </c>
      <c r="P56" s="254">
        <f>죽림리집계표!G24</f>
        <v>0</v>
      </c>
      <c r="R56" s="74" t="e">
        <f t="shared" si="0"/>
        <v>#REF!</v>
      </c>
    </row>
    <row r="57" spans="1:18" s="137" customFormat="1" ht="24" customHeight="1">
      <c r="A57" s="261" t="s">
        <v>44</v>
      </c>
      <c r="B57" s="247" t="e">
        <f t="shared" si="3"/>
        <v>#REF!</v>
      </c>
      <c r="C57" s="248" t="s">
        <v>5</v>
      </c>
      <c r="D57" s="249" t="e">
        <f t="shared" si="4"/>
        <v>#REF!</v>
      </c>
      <c r="E57" s="247" t="e">
        <f>'마산리집계표(당초)'!E25</f>
        <v>#REF!</v>
      </c>
      <c r="F57" s="248" t="s">
        <v>5</v>
      </c>
      <c r="G57" s="249" t="e">
        <f>'마산리집계표(당초)'!G25</f>
        <v>#REF!</v>
      </c>
      <c r="H57" s="247" t="e">
        <f>#REF!</f>
        <v>#REF!</v>
      </c>
      <c r="I57" s="248" t="s">
        <v>5</v>
      </c>
      <c r="J57" s="249" t="e">
        <f>#REF!</f>
        <v>#REF!</v>
      </c>
      <c r="K57" s="247">
        <f>신흥리집계표!E25</f>
        <v>0</v>
      </c>
      <c r="L57" s="248" t="s">
        <v>5</v>
      </c>
      <c r="M57" s="249">
        <f>신흥리집계표!G25</f>
        <v>0</v>
      </c>
      <c r="N57" s="247">
        <f>죽림리집계표!E25</f>
        <v>0</v>
      </c>
      <c r="O57" s="248" t="s">
        <v>5</v>
      </c>
      <c r="P57" s="254">
        <f>죽림리집계표!G25</f>
        <v>0</v>
      </c>
      <c r="R57" s="74" t="e">
        <f t="shared" si="0"/>
        <v>#REF!</v>
      </c>
    </row>
    <row r="58" spans="1:18" s="137" customFormat="1" ht="24" customHeight="1">
      <c r="A58" s="261" t="s">
        <v>45</v>
      </c>
      <c r="B58" s="247" t="e">
        <f t="shared" si="3"/>
        <v>#REF!</v>
      </c>
      <c r="C58" s="248" t="s">
        <v>5</v>
      </c>
      <c r="D58" s="249" t="e">
        <f t="shared" si="4"/>
        <v>#REF!</v>
      </c>
      <c r="E58" s="247" t="e">
        <f>'마산리집계표(당초)'!E26</f>
        <v>#REF!</v>
      </c>
      <c r="F58" s="248" t="s">
        <v>5</v>
      </c>
      <c r="G58" s="249" t="e">
        <f>'마산리집계표(당초)'!G26</f>
        <v>#REF!</v>
      </c>
      <c r="H58" s="247" t="e">
        <f>#REF!</f>
        <v>#REF!</v>
      </c>
      <c r="I58" s="248" t="s">
        <v>5</v>
      </c>
      <c r="J58" s="249" t="e">
        <f>#REF!</f>
        <v>#REF!</v>
      </c>
      <c r="K58" s="247">
        <f>신흥리집계표!E26</f>
        <v>0</v>
      </c>
      <c r="L58" s="248" t="s">
        <v>5</v>
      </c>
      <c r="M58" s="249">
        <f>신흥리집계표!G26</f>
        <v>0</v>
      </c>
      <c r="N58" s="247">
        <f>죽림리집계표!E26</f>
        <v>0</v>
      </c>
      <c r="O58" s="248" t="s">
        <v>5</v>
      </c>
      <c r="P58" s="254">
        <f>죽림리집계표!G26</f>
        <v>0</v>
      </c>
      <c r="R58" s="74" t="e">
        <f t="shared" si="0"/>
        <v>#REF!</v>
      </c>
    </row>
    <row r="59" spans="1:18" s="137" customFormat="1" ht="24" customHeight="1">
      <c r="A59" s="261" t="s">
        <v>60</v>
      </c>
      <c r="B59" s="247" t="e">
        <f t="shared" si="3"/>
        <v>#REF!</v>
      </c>
      <c r="C59" s="248" t="s">
        <v>5</v>
      </c>
      <c r="D59" s="249" t="e">
        <f t="shared" si="4"/>
        <v>#REF!</v>
      </c>
      <c r="E59" s="247" t="e">
        <f>'마산리집계표(당초)'!E27</f>
        <v>#REF!</v>
      </c>
      <c r="F59" s="248" t="s">
        <v>5</v>
      </c>
      <c r="G59" s="249" t="e">
        <f>'마산리집계표(당초)'!G27</f>
        <v>#REF!</v>
      </c>
      <c r="H59" s="247" t="e">
        <f>#REF!</f>
        <v>#REF!</v>
      </c>
      <c r="I59" s="248" t="s">
        <v>5</v>
      </c>
      <c r="J59" s="249" t="e">
        <f>#REF!</f>
        <v>#REF!</v>
      </c>
      <c r="K59" s="247">
        <f>신흥리집계표!E27</f>
        <v>0</v>
      </c>
      <c r="L59" s="248" t="s">
        <v>5</v>
      </c>
      <c r="M59" s="249">
        <f>신흥리집계표!G27</f>
        <v>0</v>
      </c>
      <c r="N59" s="247">
        <f>죽림리집계표!E27</f>
        <v>0</v>
      </c>
      <c r="O59" s="248" t="s">
        <v>5</v>
      </c>
      <c r="P59" s="254">
        <f>죽림리집계표!G27</f>
        <v>0</v>
      </c>
      <c r="R59" s="74" t="e">
        <f t="shared" si="0"/>
        <v>#REF!</v>
      </c>
    </row>
    <row r="60" spans="1:18" s="137" customFormat="1" ht="24" customHeight="1">
      <c r="A60" s="261" t="s">
        <v>56</v>
      </c>
      <c r="B60" s="247" t="e">
        <f t="shared" si="3"/>
        <v>#REF!</v>
      </c>
      <c r="C60" s="248" t="s">
        <v>5</v>
      </c>
      <c r="D60" s="249" t="e">
        <f t="shared" si="4"/>
        <v>#REF!</v>
      </c>
      <c r="E60" s="247" t="e">
        <f>'마산리집계표(당초)'!E28</f>
        <v>#REF!</v>
      </c>
      <c r="F60" s="248" t="s">
        <v>5</v>
      </c>
      <c r="G60" s="249" t="e">
        <f>'마산리집계표(당초)'!G28</f>
        <v>#REF!</v>
      </c>
      <c r="H60" s="247" t="e">
        <f>#REF!</f>
        <v>#REF!</v>
      </c>
      <c r="I60" s="248" t="s">
        <v>5</v>
      </c>
      <c r="J60" s="249" t="e">
        <f>#REF!</f>
        <v>#REF!</v>
      </c>
      <c r="K60" s="247">
        <f>신흥리집계표!E28</f>
        <v>0</v>
      </c>
      <c r="L60" s="248" t="s">
        <v>5</v>
      </c>
      <c r="M60" s="249">
        <f>신흥리집계표!G28</f>
        <v>0</v>
      </c>
      <c r="N60" s="247">
        <f>죽림리집계표!E28</f>
        <v>0</v>
      </c>
      <c r="O60" s="248" t="s">
        <v>5</v>
      </c>
      <c r="P60" s="254">
        <f>죽림리집계표!G28</f>
        <v>0</v>
      </c>
      <c r="R60" s="74" t="e">
        <f t="shared" si="0"/>
        <v>#REF!</v>
      </c>
    </row>
    <row r="61" spans="1:18" s="137" customFormat="1" ht="24" customHeight="1">
      <c r="A61" s="261" t="s">
        <v>57</v>
      </c>
      <c r="B61" s="247" t="e">
        <f t="shared" si="3"/>
        <v>#REF!</v>
      </c>
      <c r="C61" s="248" t="s">
        <v>5</v>
      </c>
      <c r="D61" s="249" t="e">
        <f t="shared" si="4"/>
        <v>#REF!</v>
      </c>
      <c r="E61" s="247" t="e">
        <f>'마산리집계표(당초)'!E29</f>
        <v>#REF!</v>
      </c>
      <c r="F61" s="248" t="s">
        <v>5</v>
      </c>
      <c r="G61" s="249" t="e">
        <f>'마산리집계표(당초)'!G29</f>
        <v>#REF!</v>
      </c>
      <c r="H61" s="247" t="e">
        <f>#REF!</f>
        <v>#REF!</v>
      </c>
      <c r="I61" s="248" t="s">
        <v>5</v>
      </c>
      <c r="J61" s="249" t="e">
        <f>#REF!</f>
        <v>#REF!</v>
      </c>
      <c r="K61" s="247">
        <f>신흥리집계표!E29</f>
        <v>0</v>
      </c>
      <c r="L61" s="248" t="s">
        <v>5</v>
      </c>
      <c r="M61" s="249">
        <f>신흥리집계표!G29</f>
        <v>0</v>
      </c>
      <c r="N61" s="247">
        <f>죽림리집계표!E29</f>
        <v>0</v>
      </c>
      <c r="O61" s="248" t="s">
        <v>5</v>
      </c>
      <c r="P61" s="254">
        <f>죽림리집계표!G29</f>
        <v>0</v>
      </c>
      <c r="R61" s="74" t="e">
        <f t="shared" si="0"/>
        <v>#REF!</v>
      </c>
    </row>
    <row r="62" spans="1:18" s="137" customFormat="1" ht="24" customHeight="1">
      <c r="A62" s="262" t="s">
        <v>24</v>
      </c>
      <c r="B62" s="250" t="e">
        <f t="shared" si="3"/>
        <v>#REF!</v>
      </c>
      <c r="C62" s="251" t="s">
        <v>5</v>
      </c>
      <c r="D62" s="252" t="e">
        <f t="shared" si="4"/>
        <v>#REF!</v>
      </c>
      <c r="E62" s="250" t="e">
        <f>'마산리집계표(당초)'!E30</f>
        <v>#REF!</v>
      </c>
      <c r="F62" s="251" t="s">
        <v>5</v>
      </c>
      <c r="G62" s="252" t="e">
        <f>'마산리집계표(당초)'!G30</f>
        <v>#REF!</v>
      </c>
      <c r="H62" s="247" t="e">
        <f>#REF!</f>
        <v>#REF!</v>
      </c>
      <c r="I62" s="251" t="s">
        <v>5</v>
      </c>
      <c r="J62" s="249" t="e">
        <f>#REF!</f>
        <v>#REF!</v>
      </c>
      <c r="K62" s="250">
        <f>신흥리집계표!E30</f>
        <v>0</v>
      </c>
      <c r="L62" s="251" t="s">
        <v>5</v>
      </c>
      <c r="M62" s="252">
        <f>신흥리집계표!G30</f>
        <v>0</v>
      </c>
      <c r="N62" s="250">
        <f>죽림리집계표!E30</f>
        <v>0</v>
      </c>
      <c r="O62" s="251" t="s">
        <v>5</v>
      </c>
      <c r="P62" s="255">
        <f>죽림리집계표!G30</f>
        <v>0</v>
      </c>
      <c r="R62" s="74" t="e">
        <f t="shared" si="0"/>
        <v>#REF!</v>
      </c>
    </row>
    <row r="63" spans="1:18" s="131" customFormat="1" ht="27.95" customHeight="1">
      <c r="A63" s="257" t="s">
        <v>59</v>
      </c>
      <c r="B63" s="144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R63" s="74"/>
    </row>
    <row r="64" spans="1:18" s="136" customFormat="1" ht="9.9499999999999993" customHeight="1">
      <c r="A64" s="263"/>
      <c r="B64" s="147"/>
      <c r="C64" s="146"/>
      <c r="D64" s="148"/>
      <c r="E64" s="147"/>
      <c r="F64" s="146"/>
      <c r="G64" s="148"/>
      <c r="H64" s="147"/>
      <c r="I64" s="146"/>
      <c r="J64" s="148"/>
      <c r="K64" s="147"/>
      <c r="L64" s="146"/>
      <c r="M64" s="148"/>
      <c r="N64" s="147"/>
      <c r="O64" s="146"/>
      <c r="P64" s="148"/>
      <c r="R64" s="74"/>
    </row>
    <row r="65" spans="1:18" s="138" customFormat="1" ht="20.100000000000001" customHeight="1">
      <c r="A65" s="447" t="s">
        <v>2</v>
      </c>
      <c r="B65" s="452" t="s">
        <v>3</v>
      </c>
      <c r="C65" s="453"/>
      <c r="D65" s="454"/>
      <c r="E65" s="273" t="str">
        <f>E3</f>
        <v>경기도 포천시 가산면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5"/>
      <c r="Q65" s="137"/>
      <c r="R65" s="74"/>
    </row>
    <row r="66" spans="1:18" s="138" customFormat="1" ht="20.100000000000001" customHeight="1">
      <c r="A66" s="448"/>
      <c r="B66" s="455"/>
      <c r="C66" s="456"/>
      <c r="D66" s="457"/>
      <c r="E66" s="276" t="str">
        <f>E4</f>
        <v>마산리</v>
      </c>
      <c r="F66" s="277"/>
      <c r="G66" s="278"/>
      <c r="H66" s="276" t="str">
        <f>H4</f>
        <v>감암리</v>
      </c>
      <c r="I66" s="277"/>
      <c r="J66" s="278"/>
      <c r="K66" s="276">
        <f>K4</f>
        <v>0</v>
      </c>
      <c r="L66" s="277"/>
      <c r="M66" s="278"/>
      <c r="N66" s="276">
        <f>N4</f>
        <v>0</v>
      </c>
      <c r="O66" s="277"/>
      <c r="P66" s="280"/>
      <c r="Q66" s="137"/>
      <c r="R66" s="74"/>
    </row>
    <row r="67" spans="1:18" s="138" customFormat="1" ht="20.100000000000001" customHeight="1">
      <c r="A67" s="449"/>
      <c r="B67" s="266" t="s">
        <v>78</v>
      </c>
      <c r="C67" s="267" t="s">
        <v>5</v>
      </c>
      <c r="D67" s="268" t="s">
        <v>6</v>
      </c>
      <c r="E67" s="266" t="s">
        <v>4</v>
      </c>
      <c r="F67" s="267" t="s">
        <v>5</v>
      </c>
      <c r="G67" s="268" t="s">
        <v>6</v>
      </c>
      <c r="H67" s="266" t="s">
        <v>4</v>
      </c>
      <c r="I67" s="267" t="s">
        <v>5</v>
      </c>
      <c r="J67" s="268" t="s">
        <v>6</v>
      </c>
      <c r="K67" s="266" t="s">
        <v>4</v>
      </c>
      <c r="L67" s="267" t="s">
        <v>5</v>
      </c>
      <c r="M67" s="268" t="s">
        <v>6</v>
      </c>
      <c r="N67" s="266" t="s">
        <v>4</v>
      </c>
      <c r="O67" s="267" t="s">
        <v>5</v>
      </c>
      <c r="P67" s="269" t="s">
        <v>6</v>
      </c>
      <c r="Q67" s="137"/>
      <c r="R67" s="74"/>
    </row>
    <row r="68" spans="1:18" s="137" customFormat="1" ht="24" customHeight="1">
      <c r="A68" s="260" t="s">
        <v>3</v>
      </c>
      <c r="B68" s="247" t="e">
        <f>SUM(B69:B93)</f>
        <v>#REF!</v>
      </c>
      <c r="C68" s="248" t="s">
        <v>5</v>
      </c>
      <c r="D68" s="249" t="e">
        <f>SUM(D69:D93)</f>
        <v>#REF!</v>
      </c>
      <c r="E68" s="247" t="e">
        <f>SUM(E69:E93)</f>
        <v>#REF!</v>
      </c>
      <c r="F68" s="248" t="s">
        <v>5</v>
      </c>
      <c r="G68" s="249" t="e">
        <f>SUM(G69:G93)</f>
        <v>#REF!</v>
      </c>
      <c r="H68" s="247" t="e">
        <f>SUM(H69:H93)</f>
        <v>#REF!</v>
      </c>
      <c r="I68" s="248" t="s">
        <v>5</v>
      </c>
      <c r="J68" s="249" t="e">
        <f>SUM(J69:J93)</f>
        <v>#REF!</v>
      </c>
      <c r="K68" s="247">
        <f>신흥리집계표!H5</f>
        <v>0</v>
      </c>
      <c r="L68" s="248" t="s">
        <v>5</v>
      </c>
      <c r="M68" s="249">
        <f>신흥리집계표!J5</f>
        <v>0</v>
      </c>
      <c r="N68" s="247">
        <f>죽림리집계표!H5</f>
        <v>0</v>
      </c>
      <c r="O68" s="248" t="s">
        <v>5</v>
      </c>
      <c r="P68" s="254">
        <f>죽림리집계표!J5</f>
        <v>0</v>
      </c>
      <c r="R68" s="74" t="e">
        <f t="shared" si="0"/>
        <v>#REF!</v>
      </c>
    </row>
    <row r="69" spans="1:18" s="137" customFormat="1" ht="24" customHeight="1">
      <c r="A69" s="260" t="s">
        <v>7</v>
      </c>
      <c r="B69" s="247" t="e">
        <f>SUM(E69,H69,K69,N69)</f>
        <v>#REF!</v>
      </c>
      <c r="C69" s="248" t="s">
        <v>5</v>
      </c>
      <c r="D69" s="249" t="e">
        <f>SUM(G69,J69,M69,P69)</f>
        <v>#REF!</v>
      </c>
      <c r="E69" s="247" t="e">
        <f>'마산리집계표(당초)'!H6</f>
        <v>#REF!</v>
      </c>
      <c r="F69" s="248" t="s">
        <v>5</v>
      </c>
      <c r="G69" s="249" t="e">
        <f>'마산리집계표(당초)'!J6</f>
        <v>#REF!</v>
      </c>
      <c r="H69" s="247" t="e">
        <f>#REF!</f>
        <v>#REF!</v>
      </c>
      <c r="I69" s="248" t="s">
        <v>5</v>
      </c>
      <c r="J69" s="249" t="e">
        <f>#REF!</f>
        <v>#REF!</v>
      </c>
      <c r="K69" s="247">
        <f>신흥리집계표!H6</f>
        <v>0</v>
      </c>
      <c r="L69" s="248" t="s">
        <v>5</v>
      </c>
      <c r="M69" s="249">
        <f>신흥리집계표!J6</f>
        <v>0</v>
      </c>
      <c r="N69" s="247">
        <f>죽림리집계표!H6</f>
        <v>0</v>
      </c>
      <c r="O69" s="248" t="s">
        <v>5</v>
      </c>
      <c r="P69" s="254">
        <f>죽림리집계표!J6</f>
        <v>0</v>
      </c>
      <c r="R69" s="74" t="e">
        <f t="shared" si="0"/>
        <v>#REF!</v>
      </c>
    </row>
    <row r="70" spans="1:18" s="137" customFormat="1" ht="24" customHeight="1">
      <c r="A70" s="260" t="s">
        <v>8</v>
      </c>
      <c r="B70" s="247" t="e">
        <f t="shared" ref="B70:B93" si="5">SUM(E70,H70,K70,N70)</f>
        <v>#REF!</v>
      </c>
      <c r="C70" s="248" t="s">
        <v>5</v>
      </c>
      <c r="D70" s="249" t="e">
        <f t="shared" ref="D70:D93" si="6">SUM(G70,J70,M70,P70)</f>
        <v>#REF!</v>
      </c>
      <c r="E70" s="247" t="e">
        <f>'마산리집계표(당초)'!H7</f>
        <v>#REF!</v>
      </c>
      <c r="F70" s="248" t="s">
        <v>5</v>
      </c>
      <c r="G70" s="249" t="e">
        <f>'마산리집계표(당초)'!J7</f>
        <v>#REF!</v>
      </c>
      <c r="H70" s="247" t="e">
        <f>#REF!</f>
        <v>#REF!</v>
      </c>
      <c r="I70" s="248" t="s">
        <v>5</v>
      </c>
      <c r="J70" s="249" t="e">
        <f>#REF!</f>
        <v>#REF!</v>
      </c>
      <c r="K70" s="247">
        <f>신흥리집계표!H7</f>
        <v>0</v>
      </c>
      <c r="L70" s="248" t="s">
        <v>5</v>
      </c>
      <c r="M70" s="249">
        <f>신흥리집계표!J7</f>
        <v>0</v>
      </c>
      <c r="N70" s="247">
        <f>죽림리집계표!H7</f>
        <v>0</v>
      </c>
      <c r="O70" s="248" t="s">
        <v>5</v>
      </c>
      <c r="P70" s="254">
        <f>죽림리집계표!J7</f>
        <v>0</v>
      </c>
      <c r="R70" s="74" t="e">
        <f t="shared" si="0"/>
        <v>#REF!</v>
      </c>
    </row>
    <row r="71" spans="1:18" s="137" customFormat="1" ht="24" customHeight="1">
      <c r="A71" s="260" t="s">
        <v>9</v>
      </c>
      <c r="B71" s="247" t="e">
        <f t="shared" si="5"/>
        <v>#REF!</v>
      </c>
      <c r="C71" s="248" t="s">
        <v>5</v>
      </c>
      <c r="D71" s="249" t="e">
        <f t="shared" si="6"/>
        <v>#REF!</v>
      </c>
      <c r="E71" s="247" t="e">
        <f>'마산리집계표(당초)'!H8</f>
        <v>#REF!</v>
      </c>
      <c r="F71" s="248" t="s">
        <v>5</v>
      </c>
      <c r="G71" s="249" t="e">
        <f>'마산리집계표(당초)'!J8</f>
        <v>#REF!</v>
      </c>
      <c r="H71" s="247" t="e">
        <f>#REF!</f>
        <v>#REF!</v>
      </c>
      <c r="I71" s="248" t="s">
        <v>5</v>
      </c>
      <c r="J71" s="249" t="e">
        <f>#REF!</f>
        <v>#REF!</v>
      </c>
      <c r="K71" s="247">
        <f>신흥리집계표!H8</f>
        <v>0</v>
      </c>
      <c r="L71" s="248" t="s">
        <v>5</v>
      </c>
      <c r="M71" s="249">
        <f>신흥리집계표!J8</f>
        <v>0</v>
      </c>
      <c r="N71" s="247">
        <f>죽림리집계표!H8</f>
        <v>0</v>
      </c>
      <c r="O71" s="248" t="s">
        <v>5</v>
      </c>
      <c r="P71" s="254">
        <f>죽림리집계표!J8</f>
        <v>0</v>
      </c>
      <c r="R71" s="74" t="e">
        <f t="shared" ref="R71:R124" si="7">IF(D71=(G71+J71+M71+P71),"ok","false")</f>
        <v>#REF!</v>
      </c>
    </row>
    <row r="72" spans="1:18" s="137" customFormat="1" ht="24" customHeight="1">
      <c r="A72" s="260" t="s">
        <v>10</v>
      </c>
      <c r="B72" s="247" t="e">
        <f t="shared" si="5"/>
        <v>#REF!</v>
      </c>
      <c r="C72" s="248" t="s">
        <v>5</v>
      </c>
      <c r="D72" s="249" t="e">
        <f t="shared" si="6"/>
        <v>#REF!</v>
      </c>
      <c r="E72" s="247" t="e">
        <f>'마산리집계표(당초)'!H9</f>
        <v>#REF!</v>
      </c>
      <c r="F72" s="248" t="s">
        <v>5</v>
      </c>
      <c r="G72" s="249" t="e">
        <f>'마산리집계표(당초)'!J9</f>
        <v>#REF!</v>
      </c>
      <c r="H72" s="247" t="e">
        <f>#REF!</f>
        <v>#REF!</v>
      </c>
      <c r="I72" s="248" t="s">
        <v>5</v>
      </c>
      <c r="J72" s="249" t="e">
        <f>#REF!</f>
        <v>#REF!</v>
      </c>
      <c r="K72" s="247">
        <f>신흥리집계표!H9</f>
        <v>0</v>
      </c>
      <c r="L72" s="248" t="s">
        <v>5</v>
      </c>
      <c r="M72" s="249">
        <f>신흥리집계표!J9</f>
        <v>0</v>
      </c>
      <c r="N72" s="247">
        <f>죽림리집계표!H9</f>
        <v>0</v>
      </c>
      <c r="O72" s="248" t="s">
        <v>5</v>
      </c>
      <c r="P72" s="254">
        <f>죽림리집계표!J9</f>
        <v>0</v>
      </c>
      <c r="R72" s="74" t="e">
        <f t="shared" si="7"/>
        <v>#REF!</v>
      </c>
    </row>
    <row r="73" spans="1:18" s="137" customFormat="1" ht="24" customHeight="1">
      <c r="A73" s="260" t="s">
        <v>11</v>
      </c>
      <c r="B73" s="247" t="e">
        <f t="shared" si="5"/>
        <v>#REF!</v>
      </c>
      <c r="C73" s="248" t="s">
        <v>5</v>
      </c>
      <c r="D73" s="249" t="e">
        <f t="shared" si="6"/>
        <v>#REF!</v>
      </c>
      <c r="E73" s="247" t="e">
        <f>'마산리집계표(당초)'!H10</f>
        <v>#REF!</v>
      </c>
      <c r="F73" s="248" t="s">
        <v>5</v>
      </c>
      <c r="G73" s="249" t="e">
        <f>'마산리집계표(당초)'!J10</f>
        <v>#REF!</v>
      </c>
      <c r="H73" s="247" t="e">
        <f>#REF!</f>
        <v>#REF!</v>
      </c>
      <c r="I73" s="248" t="s">
        <v>5</v>
      </c>
      <c r="J73" s="249" t="e">
        <f>#REF!</f>
        <v>#REF!</v>
      </c>
      <c r="K73" s="247">
        <f>신흥리집계표!H10</f>
        <v>0</v>
      </c>
      <c r="L73" s="248" t="s">
        <v>5</v>
      </c>
      <c r="M73" s="249">
        <f>신흥리집계표!J10</f>
        <v>0</v>
      </c>
      <c r="N73" s="247">
        <f>죽림리집계표!H10</f>
        <v>0</v>
      </c>
      <c r="O73" s="248" t="s">
        <v>5</v>
      </c>
      <c r="P73" s="254">
        <f>죽림리집계표!J10</f>
        <v>0</v>
      </c>
      <c r="R73" s="74" t="e">
        <f t="shared" si="7"/>
        <v>#REF!</v>
      </c>
    </row>
    <row r="74" spans="1:18" s="137" customFormat="1" ht="24" customHeight="1">
      <c r="A74" s="260" t="s">
        <v>13</v>
      </c>
      <c r="B74" s="247" t="e">
        <f t="shared" si="5"/>
        <v>#REF!</v>
      </c>
      <c r="C74" s="248" t="s">
        <v>5</v>
      </c>
      <c r="D74" s="249" t="e">
        <f t="shared" si="6"/>
        <v>#REF!</v>
      </c>
      <c r="E74" s="247" t="e">
        <f>'마산리집계표(당초)'!H11</f>
        <v>#REF!</v>
      </c>
      <c r="F74" s="248" t="s">
        <v>5</v>
      </c>
      <c r="G74" s="249" t="e">
        <f>'마산리집계표(당초)'!J11</f>
        <v>#REF!</v>
      </c>
      <c r="H74" s="247" t="e">
        <f>#REF!</f>
        <v>#REF!</v>
      </c>
      <c r="I74" s="248" t="s">
        <v>5</v>
      </c>
      <c r="J74" s="249" t="e">
        <f>#REF!</f>
        <v>#REF!</v>
      </c>
      <c r="K74" s="247">
        <f>신흥리집계표!H11</f>
        <v>0</v>
      </c>
      <c r="L74" s="248" t="s">
        <v>5</v>
      </c>
      <c r="M74" s="249">
        <f>신흥리집계표!J11</f>
        <v>0</v>
      </c>
      <c r="N74" s="247">
        <f>죽림리집계표!H11</f>
        <v>0</v>
      </c>
      <c r="O74" s="248" t="s">
        <v>5</v>
      </c>
      <c r="P74" s="254">
        <f>죽림리집계표!J11</f>
        <v>0</v>
      </c>
      <c r="R74" s="74" t="e">
        <f t="shared" si="7"/>
        <v>#REF!</v>
      </c>
    </row>
    <row r="75" spans="1:18" s="137" customFormat="1" ht="24" customHeight="1">
      <c r="A75" s="260" t="s">
        <v>12</v>
      </c>
      <c r="B75" s="247" t="e">
        <f t="shared" si="5"/>
        <v>#REF!</v>
      </c>
      <c r="C75" s="248" t="s">
        <v>5</v>
      </c>
      <c r="D75" s="249" t="e">
        <f t="shared" si="6"/>
        <v>#REF!</v>
      </c>
      <c r="E75" s="247" t="e">
        <f>'마산리집계표(당초)'!H12</f>
        <v>#REF!</v>
      </c>
      <c r="F75" s="248" t="s">
        <v>5</v>
      </c>
      <c r="G75" s="249" t="e">
        <f>'마산리집계표(당초)'!J12</f>
        <v>#REF!</v>
      </c>
      <c r="H75" s="247" t="e">
        <f>#REF!</f>
        <v>#REF!</v>
      </c>
      <c r="I75" s="248" t="s">
        <v>5</v>
      </c>
      <c r="J75" s="249" t="e">
        <f>#REF!</f>
        <v>#REF!</v>
      </c>
      <c r="K75" s="247">
        <f>신흥리집계표!H12</f>
        <v>0</v>
      </c>
      <c r="L75" s="248" t="s">
        <v>5</v>
      </c>
      <c r="M75" s="249">
        <f>신흥리집계표!J12</f>
        <v>0</v>
      </c>
      <c r="N75" s="247">
        <f>죽림리집계표!H12</f>
        <v>0</v>
      </c>
      <c r="O75" s="248" t="s">
        <v>5</v>
      </c>
      <c r="P75" s="254">
        <f>죽림리집계표!J12</f>
        <v>0</v>
      </c>
      <c r="R75" s="74" t="e">
        <f t="shared" si="7"/>
        <v>#REF!</v>
      </c>
    </row>
    <row r="76" spans="1:18" s="137" customFormat="1" ht="24" customHeight="1">
      <c r="A76" s="260" t="s">
        <v>15</v>
      </c>
      <c r="B76" s="247" t="e">
        <f t="shared" si="5"/>
        <v>#REF!</v>
      </c>
      <c r="C76" s="248" t="s">
        <v>5</v>
      </c>
      <c r="D76" s="249" t="e">
        <f t="shared" si="6"/>
        <v>#REF!</v>
      </c>
      <c r="E76" s="247" t="e">
        <f>'마산리집계표(당초)'!H13</f>
        <v>#REF!</v>
      </c>
      <c r="F76" s="248" t="s">
        <v>5</v>
      </c>
      <c r="G76" s="249" t="e">
        <f>'마산리집계표(당초)'!J13</f>
        <v>#REF!</v>
      </c>
      <c r="H76" s="247" t="e">
        <f>#REF!</f>
        <v>#REF!</v>
      </c>
      <c r="I76" s="248" t="s">
        <v>5</v>
      </c>
      <c r="J76" s="249" t="e">
        <f>#REF!</f>
        <v>#REF!</v>
      </c>
      <c r="K76" s="247">
        <f>신흥리집계표!H13</f>
        <v>0</v>
      </c>
      <c r="L76" s="248" t="s">
        <v>5</v>
      </c>
      <c r="M76" s="249">
        <f>신흥리집계표!J13</f>
        <v>0</v>
      </c>
      <c r="N76" s="247">
        <f>죽림리집계표!H13</f>
        <v>0</v>
      </c>
      <c r="O76" s="248" t="s">
        <v>5</v>
      </c>
      <c r="P76" s="254">
        <f>죽림리집계표!J13</f>
        <v>0</v>
      </c>
      <c r="R76" s="74" t="e">
        <f t="shared" si="7"/>
        <v>#REF!</v>
      </c>
    </row>
    <row r="77" spans="1:18" s="137" customFormat="1" ht="24" customHeight="1">
      <c r="A77" s="260" t="s">
        <v>14</v>
      </c>
      <c r="B77" s="247" t="e">
        <f t="shared" si="5"/>
        <v>#REF!</v>
      </c>
      <c r="C77" s="248" t="s">
        <v>5</v>
      </c>
      <c r="D77" s="249" t="e">
        <f t="shared" si="6"/>
        <v>#REF!</v>
      </c>
      <c r="E77" s="247" t="e">
        <f>'마산리집계표(당초)'!H14</f>
        <v>#REF!</v>
      </c>
      <c r="F77" s="248" t="s">
        <v>5</v>
      </c>
      <c r="G77" s="249" t="e">
        <f>'마산리집계표(당초)'!J14</f>
        <v>#REF!</v>
      </c>
      <c r="H77" s="247" t="e">
        <f>#REF!</f>
        <v>#REF!</v>
      </c>
      <c r="I77" s="248" t="s">
        <v>5</v>
      </c>
      <c r="J77" s="249" t="e">
        <f>#REF!</f>
        <v>#REF!</v>
      </c>
      <c r="K77" s="247">
        <f>신흥리집계표!H14</f>
        <v>0</v>
      </c>
      <c r="L77" s="248" t="s">
        <v>5</v>
      </c>
      <c r="M77" s="249">
        <f>신흥리집계표!J14</f>
        <v>0</v>
      </c>
      <c r="N77" s="247">
        <f>죽림리집계표!H14</f>
        <v>0</v>
      </c>
      <c r="O77" s="248" t="s">
        <v>5</v>
      </c>
      <c r="P77" s="254">
        <f>죽림리집계표!J14</f>
        <v>0</v>
      </c>
      <c r="R77" s="74" t="e">
        <f t="shared" si="7"/>
        <v>#REF!</v>
      </c>
    </row>
    <row r="78" spans="1:18" s="137" customFormat="1" ht="24" customHeight="1">
      <c r="A78" s="260" t="s">
        <v>16</v>
      </c>
      <c r="B78" s="247" t="e">
        <f t="shared" si="5"/>
        <v>#REF!</v>
      </c>
      <c r="C78" s="248" t="s">
        <v>5</v>
      </c>
      <c r="D78" s="249" t="e">
        <f t="shared" si="6"/>
        <v>#REF!</v>
      </c>
      <c r="E78" s="247" t="e">
        <f>'마산리집계표(당초)'!H15</f>
        <v>#REF!</v>
      </c>
      <c r="F78" s="248" t="s">
        <v>5</v>
      </c>
      <c r="G78" s="249" t="e">
        <f>'마산리집계표(당초)'!J15</f>
        <v>#REF!</v>
      </c>
      <c r="H78" s="247" t="e">
        <f>#REF!</f>
        <v>#REF!</v>
      </c>
      <c r="I78" s="248" t="s">
        <v>5</v>
      </c>
      <c r="J78" s="249" t="e">
        <f>#REF!</f>
        <v>#REF!</v>
      </c>
      <c r="K78" s="247">
        <f>신흥리집계표!H15</f>
        <v>0</v>
      </c>
      <c r="L78" s="248" t="s">
        <v>5</v>
      </c>
      <c r="M78" s="249">
        <f>신흥리집계표!J15</f>
        <v>0</v>
      </c>
      <c r="N78" s="247">
        <f>죽림리집계표!H15</f>
        <v>0</v>
      </c>
      <c r="O78" s="248" t="s">
        <v>5</v>
      </c>
      <c r="P78" s="254">
        <f>죽림리집계표!J15</f>
        <v>0</v>
      </c>
      <c r="R78" s="74" t="e">
        <f t="shared" si="7"/>
        <v>#REF!</v>
      </c>
    </row>
    <row r="79" spans="1:18" s="137" customFormat="1" ht="24" customHeight="1">
      <c r="A79" s="260" t="s">
        <v>21</v>
      </c>
      <c r="B79" s="247" t="e">
        <f t="shared" si="5"/>
        <v>#REF!</v>
      </c>
      <c r="C79" s="248" t="s">
        <v>5</v>
      </c>
      <c r="D79" s="249" t="e">
        <f t="shared" si="6"/>
        <v>#REF!</v>
      </c>
      <c r="E79" s="247" t="e">
        <f>'마산리집계표(당초)'!H16</f>
        <v>#REF!</v>
      </c>
      <c r="F79" s="248" t="s">
        <v>5</v>
      </c>
      <c r="G79" s="249" t="e">
        <f>'마산리집계표(당초)'!J16</f>
        <v>#REF!</v>
      </c>
      <c r="H79" s="247" t="e">
        <f>#REF!</f>
        <v>#REF!</v>
      </c>
      <c r="I79" s="248" t="s">
        <v>5</v>
      </c>
      <c r="J79" s="249" t="e">
        <f>#REF!</f>
        <v>#REF!</v>
      </c>
      <c r="K79" s="247">
        <f>신흥리집계표!H16</f>
        <v>0</v>
      </c>
      <c r="L79" s="248" t="s">
        <v>5</v>
      </c>
      <c r="M79" s="249">
        <f>신흥리집계표!J16</f>
        <v>0</v>
      </c>
      <c r="N79" s="247">
        <f>죽림리집계표!H16</f>
        <v>0</v>
      </c>
      <c r="O79" s="248" t="s">
        <v>5</v>
      </c>
      <c r="P79" s="254">
        <f>죽림리집계표!J16</f>
        <v>0</v>
      </c>
      <c r="R79" s="74" t="e">
        <f t="shared" si="7"/>
        <v>#REF!</v>
      </c>
    </row>
    <row r="80" spans="1:18" s="137" customFormat="1" ht="24" customHeight="1">
      <c r="A80" s="260" t="s">
        <v>18</v>
      </c>
      <c r="B80" s="247" t="e">
        <f t="shared" si="5"/>
        <v>#REF!</v>
      </c>
      <c r="C80" s="248" t="s">
        <v>5</v>
      </c>
      <c r="D80" s="249" t="e">
        <f t="shared" si="6"/>
        <v>#REF!</v>
      </c>
      <c r="E80" s="247" t="e">
        <f>'마산리집계표(당초)'!H17</f>
        <v>#REF!</v>
      </c>
      <c r="F80" s="248" t="s">
        <v>5</v>
      </c>
      <c r="G80" s="249" t="e">
        <f>'마산리집계표(당초)'!J17</f>
        <v>#REF!</v>
      </c>
      <c r="H80" s="247" t="e">
        <f>#REF!</f>
        <v>#REF!</v>
      </c>
      <c r="I80" s="248" t="s">
        <v>5</v>
      </c>
      <c r="J80" s="249" t="e">
        <f>#REF!</f>
        <v>#REF!</v>
      </c>
      <c r="K80" s="247">
        <f>신흥리집계표!H17</f>
        <v>0</v>
      </c>
      <c r="L80" s="248" t="s">
        <v>5</v>
      </c>
      <c r="M80" s="249">
        <f>신흥리집계표!J17</f>
        <v>0</v>
      </c>
      <c r="N80" s="247">
        <f>죽림리집계표!H17</f>
        <v>0</v>
      </c>
      <c r="O80" s="248" t="s">
        <v>5</v>
      </c>
      <c r="P80" s="254">
        <f>죽림리집계표!J17</f>
        <v>0</v>
      </c>
      <c r="R80" s="74" t="e">
        <f t="shared" si="7"/>
        <v>#REF!</v>
      </c>
    </row>
    <row r="81" spans="1:18" s="137" customFormat="1" ht="24" customHeight="1">
      <c r="A81" s="260" t="s">
        <v>23</v>
      </c>
      <c r="B81" s="247" t="e">
        <f t="shared" si="5"/>
        <v>#REF!</v>
      </c>
      <c r="C81" s="248" t="s">
        <v>5</v>
      </c>
      <c r="D81" s="249" t="e">
        <f t="shared" si="6"/>
        <v>#REF!</v>
      </c>
      <c r="E81" s="247" t="e">
        <f>'마산리집계표(당초)'!H18</f>
        <v>#REF!</v>
      </c>
      <c r="F81" s="248" t="s">
        <v>5</v>
      </c>
      <c r="G81" s="249" t="e">
        <f>'마산리집계표(당초)'!J18</f>
        <v>#REF!</v>
      </c>
      <c r="H81" s="247" t="e">
        <f>#REF!</f>
        <v>#REF!</v>
      </c>
      <c r="I81" s="248" t="s">
        <v>5</v>
      </c>
      <c r="J81" s="249" t="e">
        <f>#REF!</f>
        <v>#REF!</v>
      </c>
      <c r="K81" s="247">
        <f>신흥리집계표!H18</f>
        <v>0</v>
      </c>
      <c r="L81" s="248" t="s">
        <v>5</v>
      </c>
      <c r="M81" s="249">
        <f>신흥리집계표!J18</f>
        <v>0</v>
      </c>
      <c r="N81" s="247">
        <f>죽림리집계표!H18</f>
        <v>0</v>
      </c>
      <c r="O81" s="248" t="s">
        <v>5</v>
      </c>
      <c r="P81" s="254">
        <f>죽림리집계표!J18</f>
        <v>0</v>
      </c>
      <c r="R81" s="74" t="e">
        <f t="shared" si="7"/>
        <v>#REF!</v>
      </c>
    </row>
    <row r="82" spans="1:18" s="137" customFormat="1" ht="24" customHeight="1">
      <c r="A82" s="260" t="s">
        <v>41</v>
      </c>
      <c r="B82" s="247" t="e">
        <f t="shared" si="5"/>
        <v>#REF!</v>
      </c>
      <c r="C82" s="248" t="s">
        <v>5</v>
      </c>
      <c r="D82" s="249" t="e">
        <f t="shared" si="6"/>
        <v>#REF!</v>
      </c>
      <c r="E82" s="247" t="e">
        <f>'마산리집계표(당초)'!H19</f>
        <v>#REF!</v>
      </c>
      <c r="F82" s="248" t="s">
        <v>5</v>
      </c>
      <c r="G82" s="249" t="e">
        <f>'마산리집계표(당초)'!J19</f>
        <v>#REF!</v>
      </c>
      <c r="H82" s="247" t="e">
        <f>#REF!</f>
        <v>#REF!</v>
      </c>
      <c r="I82" s="248" t="s">
        <v>5</v>
      </c>
      <c r="J82" s="249" t="e">
        <f>#REF!</f>
        <v>#REF!</v>
      </c>
      <c r="K82" s="247">
        <f>신흥리집계표!H19</f>
        <v>0</v>
      </c>
      <c r="L82" s="248" t="s">
        <v>5</v>
      </c>
      <c r="M82" s="249">
        <f>신흥리집계표!J19</f>
        <v>0</v>
      </c>
      <c r="N82" s="247">
        <f>죽림리집계표!H19</f>
        <v>0</v>
      </c>
      <c r="O82" s="248" t="s">
        <v>5</v>
      </c>
      <c r="P82" s="254">
        <f>죽림리집계표!J19</f>
        <v>0</v>
      </c>
      <c r="R82" s="74" t="e">
        <f t="shared" si="7"/>
        <v>#REF!</v>
      </c>
    </row>
    <row r="83" spans="1:18" s="137" customFormat="1" ht="24" customHeight="1">
      <c r="A83" s="260" t="s">
        <v>17</v>
      </c>
      <c r="B83" s="247" t="e">
        <f t="shared" si="5"/>
        <v>#REF!</v>
      </c>
      <c r="C83" s="248" t="s">
        <v>5</v>
      </c>
      <c r="D83" s="249" t="e">
        <f t="shared" si="6"/>
        <v>#REF!</v>
      </c>
      <c r="E83" s="247" t="e">
        <f>'마산리집계표(당초)'!H20</f>
        <v>#REF!</v>
      </c>
      <c r="F83" s="248" t="s">
        <v>5</v>
      </c>
      <c r="G83" s="249" t="e">
        <f>'마산리집계표(당초)'!J20</f>
        <v>#REF!</v>
      </c>
      <c r="H83" s="247" t="e">
        <f>#REF!</f>
        <v>#REF!</v>
      </c>
      <c r="I83" s="248" t="s">
        <v>5</v>
      </c>
      <c r="J83" s="249" t="e">
        <f>#REF!</f>
        <v>#REF!</v>
      </c>
      <c r="K83" s="247">
        <f>신흥리집계표!H20</f>
        <v>0</v>
      </c>
      <c r="L83" s="248" t="s">
        <v>5</v>
      </c>
      <c r="M83" s="249">
        <f>신흥리집계표!J20</f>
        <v>0</v>
      </c>
      <c r="N83" s="247">
        <f>죽림리집계표!H20</f>
        <v>0</v>
      </c>
      <c r="O83" s="248" t="s">
        <v>5</v>
      </c>
      <c r="P83" s="254">
        <f>죽림리집계표!J20</f>
        <v>0</v>
      </c>
      <c r="R83" s="74" t="e">
        <f t="shared" si="7"/>
        <v>#REF!</v>
      </c>
    </row>
    <row r="84" spans="1:18" s="137" customFormat="1" ht="24" customHeight="1">
      <c r="A84" s="260" t="s">
        <v>20</v>
      </c>
      <c r="B84" s="247" t="e">
        <f t="shared" si="5"/>
        <v>#REF!</v>
      </c>
      <c r="C84" s="248" t="s">
        <v>5</v>
      </c>
      <c r="D84" s="249" t="e">
        <f t="shared" si="6"/>
        <v>#REF!</v>
      </c>
      <c r="E84" s="247" t="e">
        <f>'마산리집계표(당초)'!H21</f>
        <v>#REF!</v>
      </c>
      <c r="F84" s="248" t="s">
        <v>5</v>
      </c>
      <c r="G84" s="249" t="e">
        <f>'마산리집계표(당초)'!J21</f>
        <v>#REF!</v>
      </c>
      <c r="H84" s="247" t="e">
        <f>#REF!</f>
        <v>#REF!</v>
      </c>
      <c r="I84" s="248" t="s">
        <v>5</v>
      </c>
      <c r="J84" s="249" t="e">
        <f>#REF!</f>
        <v>#REF!</v>
      </c>
      <c r="K84" s="247">
        <f>신흥리집계표!H21</f>
        <v>0</v>
      </c>
      <c r="L84" s="248" t="s">
        <v>5</v>
      </c>
      <c r="M84" s="249">
        <f>신흥리집계표!J21</f>
        <v>0</v>
      </c>
      <c r="N84" s="247">
        <f>죽림리집계표!H21</f>
        <v>0</v>
      </c>
      <c r="O84" s="248" t="s">
        <v>5</v>
      </c>
      <c r="P84" s="254">
        <f>죽림리집계표!J21</f>
        <v>0</v>
      </c>
      <c r="R84" s="74" t="e">
        <f t="shared" si="7"/>
        <v>#REF!</v>
      </c>
    </row>
    <row r="85" spans="1:18" s="137" customFormat="1" ht="24" customHeight="1">
      <c r="A85" s="260" t="s">
        <v>19</v>
      </c>
      <c r="B85" s="247" t="e">
        <f t="shared" si="5"/>
        <v>#REF!</v>
      </c>
      <c r="C85" s="248" t="s">
        <v>5</v>
      </c>
      <c r="D85" s="249" t="e">
        <f t="shared" si="6"/>
        <v>#REF!</v>
      </c>
      <c r="E85" s="247" t="e">
        <f>'마산리집계표(당초)'!H22</f>
        <v>#REF!</v>
      </c>
      <c r="F85" s="248" t="s">
        <v>5</v>
      </c>
      <c r="G85" s="249" t="e">
        <f>'마산리집계표(당초)'!J22</f>
        <v>#REF!</v>
      </c>
      <c r="H85" s="247" t="e">
        <f>#REF!</f>
        <v>#REF!</v>
      </c>
      <c r="I85" s="248" t="s">
        <v>5</v>
      </c>
      <c r="J85" s="249" t="e">
        <f>#REF!</f>
        <v>#REF!</v>
      </c>
      <c r="K85" s="247">
        <f>신흥리집계표!H22</f>
        <v>0</v>
      </c>
      <c r="L85" s="248" t="s">
        <v>5</v>
      </c>
      <c r="M85" s="249">
        <f>신흥리집계표!J22</f>
        <v>0</v>
      </c>
      <c r="N85" s="247">
        <f>죽림리집계표!H22</f>
        <v>0</v>
      </c>
      <c r="O85" s="248" t="s">
        <v>5</v>
      </c>
      <c r="P85" s="254">
        <f>죽림리집계표!J22</f>
        <v>0</v>
      </c>
      <c r="R85" s="74" t="e">
        <f t="shared" si="7"/>
        <v>#REF!</v>
      </c>
    </row>
    <row r="86" spans="1:18" s="137" customFormat="1" ht="24" customHeight="1">
      <c r="A86" s="261" t="s">
        <v>42</v>
      </c>
      <c r="B86" s="247" t="e">
        <f t="shared" si="5"/>
        <v>#REF!</v>
      </c>
      <c r="C86" s="248" t="s">
        <v>5</v>
      </c>
      <c r="D86" s="249" t="e">
        <f t="shared" si="6"/>
        <v>#REF!</v>
      </c>
      <c r="E86" s="247" t="e">
        <f>'마산리집계표(당초)'!H23</f>
        <v>#REF!</v>
      </c>
      <c r="F86" s="248" t="s">
        <v>5</v>
      </c>
      <c r="G86" s="249" t="e">
        <f>'마산리집계표(당초)'!J23</f>
        <v>#REF!</v>
      </c>
      <c r="H86" s="247" t="e">
        <f>#REF!</f>
        <v>#REF!</v>
      </c>
      <c r="I86" s="248" t="s">
        <v>5</v>
      </c>
      <c r="J86" s="249" t="e">
        <f>#REF!</f>
        <v>#REF!</v>
      </c>
      <c r="K86" s="247">
        <f>신흥리집계표!H23</f>
        <v>0</v>
      </c>
      <c r="L86" s="248" t="s">
        <v>5</v>
      </c>
      <c r="M86" s="249">
        <f>신흥리집계표!J23</f>
        <v>0</v>
      </c>
      <c r="N86" s="247">
        <f>죽림리집계표!H23</f>
        <v>0</v>
      </c>
      <c r="O86" s="248" t="s">
        <v>5</v>
      </c>
      <c r="P86" s="254">
        <f>죽림리집계표!J23</f>
        <v>0</v>
      </c>
      <c r="R86" s="74" t="e">
        <f t="shared" si="7"/>
        <v>#REF!</v>
      </c>
    </row>
    <row r="87" spans="1:18" s="137" customFormat="1" ht="24" customHeight="1">
      <c r="A87" s="261" t="s">
        <v>43</v>
      </c>
      <c r="B87" s="247" t="e">
        <f t="shared" si="5"/>
        <v>#REF!</v>
      </c>
      <c r="C87" s="248" t="s">
        <v>5</v>
      </c>
      <c r="D87" s="249" t="e">
        <f t="shared" si="6"/>
        <v>#REF!</v>
      </c>
      <c r="E87" s="247" t="e">
        <f>'마산리집계표(당초)'!H24</f>
        <v>#REF!</v>
      </c>
      <c r="F87" s="248" t="s">
        <v>5</v>
      </c>
      <c r="G87" s="249" t="e">
        <f>'마산리집계표(당초)'!J24</f>
        <v>#REF!</v>
      </c>
      <c r="H87" s="247" t="e">
        <f>#REF!</f>
        <v>#REF!</v>
      </c>
      <c r="I87" s="248" t="s">
        <v>5</v>
      </c>
      <c r="J87" s="249" t="e">
        <f>#REF!</f>
        <v>#REF!</v>
      </c>
      <c r="K87" s="247">
        <f>신흥리집계표!H24</f>
        <v>0</v>
      </c>
      <c r="L87" s="248" t="s">
        <v>5</v>
      </c>
      <c r="M87" s="249">
        <f>신흥리집계표!J24</f>
        <v>0</v>
      </c>
      <c r="N87" s="247">
        <f>죽림리집계표!H24</f>
        <v>0</v>
      </c>
      <c r="O87" s="248" t="s">
        <v>5</v>
      </c>
      <c r="P87" s="254">
        <f>죽림리집계표!J24</f>
        <v>0</v>
      </c>
      <c r="R87" s="74" t="e">
        <f t="shared" si="7"/>
        <v>#REF!</v>
      </c>
    </row>
    <row r="88" spans="1:18" s="137" customFormat="1" ht="24" customHeight="1">
      <c r="A88" s="261" t="s">
        <v>44</v>
      </c>
      <c r="B88" s="247" t="e">
        <f t="shared" si="5"/>
        <v>#REF!</v>
      </c>
      <c r="C88" s="248" t="s">
        <v>5</v>
      </c>
      <c r="D88" s="249" t="e">
        <f t="shared" si="6"/>
        <v>#REF!</v>
      </c>
      <c r="E88" s="247" t="e">
        <f>'마산리집계표(당초)'!H25</f>
        <v>#REF!</v>
      </c>
      <c r="F88" s="248" t="s">
        <v>5</v>
      </c>
      <c r="G88" s="249" t="e">
        <f>'마산리집계표(당초)'!J25</f>
        <v>#REF!</v>
      </c>
      <c r="H88" s="247" t="e">
        <f>#REF!</f>
        <v>#REF!</v>
      </c>
      <c r="I88" s="248" t="s">
        <v>5</v>
      </c>
      <c r="J88" s="249" t="e">
        <f>#REF!</f>
        <v>#REF!</v>
      </c>
      <c r="K88" s="247">
        <f>신흥리집계표!H25</f>
        <v>0</v>
      </c>
      <c r="L88" s="248" t="s">
        <v>5</v>
      </c>
      <c r="M88" s="249">
        <f>신흥리집계표!J25</f>
        <v>0</v>
      </c>
      <c r="N88" s="247">
        <f>죽림리집계표!H25</f>
        <v>0</v>
      </c>
      <c r="O88" s="248" t="s">
        <v>5</v>
      </c>
      <c r="P88" s="254">
        <f>죽림리집계표!J25</f>
        <v>0</v>
      </c>
      <c r="R88" s="74" t="e">
        <f t="shared" si="7"/>
        <v>#REF!</v>
      </c>
    </row>
    <row r="89" spans="1:18" s="137" customFormat="1" ht="24" customHeight="1">
      <c r="A89" s="261" t="s">
        <v>45</v>
      </c>
      <c r="B89" s="247" t="e">
        <f t="shared" si="5"/>
        <v>#REF!</v>
      </c>
      <c r="C89" s="248" t="s">
        <v>5</v>
      </c>
      <c r="D89" s="249" t="e">
        <f t="shared" si="6"/>
        <v>#REF!</v>
      </c>
      <c r="E89" s="247" t="e">
        <f>'마산리집계표(당초)'!H26</f>
        <v>#REF!</v>
      </c>
      <c r="F89" s="248" t="s">
        <v>5</v>
      </c>
      <c r="G89" s="249" t="e">
        <f>'마산리집계표(당초)'!J26</f>
        <v>#REF!</v>
      </c>
      <c r="H89" s="247" t="e">
        <f>#REF!</f>
        <v>#REF!</v>
      </c>
      <c r="I89" s="248" t="s">
        <v>5</v>
      </c>
      <c r="J89" s="249" t="e">
        <f>#REF!</f>
        <v>#REF!</v>
      </c>
      <c r="K89" s="247">
        <f>신흥리집계표!H26</f>
        <v>0</v>
      </c>
      <c r="L89" s="248" t="s">
        <v>5</v>
      </c>
      <c r="M89" s="249">
        <f>신흥리집계표!J26</f>
        <v>0</v>
      </c>
      <c r="N89" s="247">
        <f>죽림리집계표!H26</f>
        <v>0</v>
      </c>
      <c r="O89" s="248" t="s">
        <v>5</v>
      </c>
      <c r="P89" s="254">
        <f>죽림리집계표!J26</f>
        <v>0</v>
      </c>
      <c r="R89" s="74" t="e">
        <f t="shared" si="7"/>
        <v>#REF!</v>
      </c>
    </row>
    <row r="90" spans="1:18" s="137" customFormat="1" ht="24" customHeight="1">
      <c r="A90" s="261" t="s">
        <v>60</v>
      </c>
      <c r="B90" s="247" t="e">
        <f t="shared" si="5"/>
        <v>#REF!</v>
      </c>
      <c r="C90" s="248" t="s">
        <v>5</v>
      </c>
      <c r="D90" s="249" t="e">
        <f t="shared" si="6"/>
        <v>#REF!</v>
      </c>
      <c r="E90" s="247" t="e">
        <f>'마산리집계표(당초)'!H27</f>
        <v>#REF!</v>
      </c>
      <c r="F90" s="248" t="s">
        <v>5</v>
      </c>
      <c r="G90" s="249" t="e">
        <f>'마산리집계표(당초)'!J27</f>
        <v>#REF!</v>
      </c>
      <c r="H90" s="247" t="e">
        <f>#REF!</f>
        <v>#REF!</v>
      </c>
      <c r="I90" s="248" t="s">
        <v>5</v>
      </c>
      <c r="J90" s="249" t="e">
        <f>#REF!</f>
        <v>#REF!</v>
      </c>
      <c r="K90" s="247">
        <f>신흥리집계표!H27</f>
        <v>0</v>
      </c>
      <c r="L90" s="248" t="s">
        <v>5</v>
      </c>
      <c r="M90" s="249">
        <f>신흥리집계표!J27</f>
        <v>0</v>
      </c>
      <c r="N90" s="247">
        <f>죽림리집계표!H27</f>
        <v>0</v>
      </c>
      <c r="O90" s="248" t="s">
        <v>5</v>
      </c>
      <c r="P90" s="254">
        <f>죽림리집계표!J27</f>
        <v>0</v>
      </c>
      <c r="R90" s="74" t="e">
        <f t="shared" si="7"/>
        <v>#REF!</v>
      </c>
    </row>
    <row r="91" spans="1:18" s="137" customFormat="1" ht="24" customHeight="1">
      <c r="A91" s="261" t="s">
        <v>56</v>
      </c>
      <c r="B91" s="247" t="e">
        <f t="shared" si="5"/>
        <v>#REF!</v>
      </c>
      <c r="C91" s="248" t="s">
        <v>5</v>
      </c>
      <c r="D91" s="249" t="e">
        <f t="shared" si="6"/>
        <v>#REF!</v>
      </c>
      <c r="E91" s="247" t="e">
        <f>'마산리집계표(당초)'!H28</f>
        <v>#REF!</v>
      </c>
      <c r="F91" s="248" t="s">
        <v>5</v>
      </c>
      <c r="G91" s="249" t="e">
        <f>'마산리집계표(당초)'!J28</f>
        <v>#REF!</v>
      </c>
      <c r="H91" s="247" t="e">
        <f>#REF!</f>
        <v>#REF!</v>
      </c>
      <c r="I91" s="248" t="s">
        <v>5</v>
      </c>
      <c r="J91" s="249" t="e">
        <f>#REF!</f>
        <v>#REF!</v>
      </c>
      <c r="K91" s="247">
        <f>신흥리집계표!H28</f>
        <v>0</v>
      </c>
      <c r="L91" s="248" t="s">
        <v>5</v>
      </c>
      <c r="M91" s="249">
        <f>신흥리집계표!J28</f>
        <v>0</v>
      </c>
      <c r="N91" s="247">
        <f>죽림리집계표!H28</f>
        <v>0</v>
      </c>
      <c r="O91" s="248" t="s">
        <v>5</v>
      </c>
      <c r="P91" s="254">
        <f>죽림리집계표!J28</f>
        <v>0</v>
      </c>
      <c r="R91" s="74" t="e">
        <f t="shared" si="7"/>
        <v>#REF!</v>
      </c>
    </row>
    <row r="92" spans="1:18" s="137" customFormat="1" ht="24" customHeight="1">
      <c r="A92" s="261" t="s">
        <v>57</v>
      </c>
      <c r="B92" s="247" t="e">
        <f t="shared" si="5"/>
        <v>#REF!</v>
      </c>
      <c r="C92" s="248" t="s">
        <v>5</v>
      </c>
      <c r="D92" s="249" t="e">
        <f t="shared" si="6"/>
        <v>#REF!</v>
      </c>
      <c r="E92" s="247" t="e">
        <f>'마산리집계표(당초)'!H29</f>
        <v>#REF!</v>
      </c>
      <c r="F92" s="248" t="s">
        <v>5</v>
      </c>
      <c r="G92" s="249" t="e">
        <f>'마산리집계표(당초)'!J29</f>
        <v>#REF!</v>
      </c>
      <c r="H92" s="247" t="e">
        <f>#REF!</f>
        <v>#REF!</v>
      </c>
      <c r="I92" s="248" t="s">
        <v>5</v>
      </c>
      <c r="J92" s="249" t="e">
        <f>#REF!</f>
        <v>#REF!</v>
      </c>
      <c r="K92" s="247">
        <f>신흥리집계표!H29</f>
        <v>0</v>
      </c>
      <c r="L92" s="248" t="s">
        <v>5</v>
      </c>
      <c r="M92" s="249">
        <f>신흥리집계표!J29</f>
        <v>0</v>
      </c>
      <c r="N92" s="247">
        <f>죽림리집계표!H29</f>
        <v>0</v>
      </c>
      <c r="O92" s="248" t="s">
        <v>5</v>
      </c>
      <c r="P92" s="254">
        <f>죽림리집계표!J29</f>
        <v>0</v>
      </c>
      <c r="R92" s="74" t="e">
        <f t="shared" si="7"/>
        <v>#REF!</v>
      </c>
    </row>
    <row r="93" spans="1:18" s="137" customFormat="1" ht="24" customHeight="1">
      <c r="A93" s="262" t="s">
        <v>24</v>
      </c>
      <c r="B93" s="250" t="e">
        <f t="shared" si="5"/>
        <v>#REF!</v>
      </c>
      <c r="C93" s="251" t="s">
        <v>5</v>
      </c>
      <c r="D93" s="252" t="e">
        <f t="shared" si="6"/>
        <v>#REF!</v>
      </c>
      <c r="E93" s="250" t="e">
        <f>'마산리집계표(당초)'!H30</f>
        <v>#REF!</v>
      </c>
      <c r="F93" s="251" t="s">
        <v>5</v>
      </c>
      <c r="G93" s="252" t="e">
        <f>'마산리집계표(당초)'!J30</f>
        <v>#REF!</v>
      </c>
      <c r="H93" s="247" t="e">
        <f>#REF!</f>
        <v>#REF!</v>
      </c>
      <c r="I93" s="251" t="s">
        <v>5</v>
      </c>
      <c r="J93" s="249" t="e">
        <f>#REF!</f>
        <v>#REF!</v>
      </c>
      <c r="K93" s="250">
        <f>신흥리집계표!H30</f>
        <v>0</v>
      </c>
      <c r="L93" s="251" t="s">
        <v>5</v>
      </c>
      <c r="M93" s="252">
        <f>신흥리집계표!J30</f>
        <v>0</v>
      </c>
      <c r="N93" s="250">
        <f>죽림리집계표!H30</f>
        <v>0</v>
      </c>
      <c r="O93" s="251" t="s">
        <v>5</v>
      </c>
      <c r="P93" s="255">
        <f>죽림리집계표!J30</f>
        <v>0</v>
      </c>
      <c r="R93" s="74" t="e">
        <f t="shared" si="7"/>
        <v>#REF!</v>
      </c>
    </row>
    <row r="94" spans="1:18" s="131" customFormat="1" ht="27.95" customHeight="1">
      <c r="A94" s="257" t="s">
        <v>1</v>
      </c>
      <c r="B94" s="144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R94" s="74"/>
    </row>
    <row r="95" spans="1:18" s="136" customFormat="1" ht="9.9499999999999993" customHeight="1">
      <c r="A95" s="263"/>
      <c r="B95" s="147"/>
      <c r="C95" s="146"/>
      <c r="D95" s="148"/>
      <c r="E95" s="147"/>
      <c r="F95" s="146"/>
      <c r="G95" s="148"/>
      <c r="H95" s="147"/>
      <c r="I95" s="146"/>
      <c r="J95" s="148"/>
      <c r="K95" s="147"/>
      <c r="L95" s="146"/>
      <c r="M95" s="148"/>
      <c r="N95" s="147"/>
      <c r="O95" s="146"/>
      <c r="P95" s="148"/>
      <c r="R95" s="74"/>
    </row>
    <row r="96" spans="1:18" s="138" customFormat="1" ht="20.100000000000001" customHeight="1">
      <c r="A96" s="447" t="s">
        <v>2</v>
      </c>
      <c r="B96" s="452" t="s">
        <v>3</v>
      </c>
      <c r="C96" s="453"/>
      <c r="D96" s="454"/>
      <c r="E96" s="273" t="str">
        <f>E3</f>
        <v>경기도 포천시 가산면</v>
      </c>
      <c r="F96" s="274"/>
      <c r="G96" s="274"/>
      <c r="H96" s="274"/>
      <c r="I96" s="274"/>
      <c r="J96" s="274"/>
      <c r="K96" s="274"/>
      <c r="L96" s="274"/>
      <c r="M96" s="274"/>
      <c r="N96" s="274"/>
      <c r="O96" s="274"/>
      <c r="P96" s="275"/>
      <c r="Q96" s="137"/>
      <c r="R96" s="74"/>
    </row>
    <row r="97" spans="1:18" s="138" customFormat="1" ht="20.100000000000001" customHeight="1">
      <c r="A97" s="448"/>
      <c r="B97" s="455"/>
      <c r="C97" s="456"/>
      <c r="D97" s="457"/>
      <c r="E97" s="276" t="str">
        <f>E4</f>
        <v>마산리</v>
      </c>
      <c r="F97" s="277"/>
      <c r="G97" s="278"/>
      <c r="H97" s="276" t="str">
        <f>H4</f>
        <v>감암리</v>
      </c>
      <c r="I97" s="277"/>
      <c r="J97" s="278"/>
      <c r="K97" s="276">
        <f>K4</f>
        <v>0</v>
      </c>
      <c r="L97" s="277"/>
      <c r="M97" s="278"/>
      <c r="N97" s="276">
        <f>N4</f>
        <v>0</v>
      </c>
      <c r="O97" s="277"/>
      <c r="P97" s="280"/>
      <c r="Q97" s="137"/>
      <c r="R97" s="74"/>
    </row>
    <row r="98" spans="1:18" s="138" customFormat="1" ht="20.100000000000001" customHeight="1">
      <c r="A98" s="449"/>
      <c r="B98" s="266" t="s">
        <v>78</v>
      </c>
      <c r="C98" s="267" t="s">
        <v>5</v>
      </c>
      <c r="D98" s="268" t="s">
        <v>6</v>
      </c>
      <c r="E98" s="266" t="s">
        <v>4</v>
      </c>
      <c r="F98" s="267" t="s">
        <v>5</v>
      </c>
      <c r="G98" s="268" t="s">
        <v>6</v>
      </c>
      <c r="H98" s="266" t="s">
        <v>4</v>
      </c>
      <c r="I98" s="267" t="s">
        <v>5</v>
      </c>
      <c r="J98" s="268" t="s">
        <v>6</v>
      </c>
      <c r="K98" s="266" t="s">
        <v>4</v>
      </c>
      <c r="L98" s="267" t="s">
        <v>5</v>
      </c>
      <c r="M98" s="268" t="s">
        <v>6</v>
      </c>
      <c r="N98" s="266" t="s">
        <v>4</v>
      </c>
      <c r="O98" s="267" t="s">
        <v>5</v>
      </c>
      <c r="P98" s="269" t="s">
        <v>6</v>
      </c>
      <c r="Q98" s="137"/>
      <c r="R98" s="74"/>
    </row>
    <row r="99" spans="1:18" s="137" customFormat="1" ht="24" customHeight="1">
      <c r="A99" s="259" t="s">
        <v>3</v>
      </c>
      <c r="B99" s="244" t="e">
        <f>SUM(B100:B124)</f>
        <v>#REF!</v>
      </c>
      <c r="C99" s="245" t="s">
        <v>5</v>
      </c>
      <c r="D99" s="246" t="e">
        <f>SUM(D100:D124)</f>
        <v>#REF!</v>
      </c>
      <c r="E99" s="244" t="e">
        <f>SUM(E100:E124)</f>
        <v>#REF!</v>
      </c>
      <c r="F99" s="245" t="s">
        <v>5</v>
      </c>
      <c r="G99" s="246" t="e">
        <f>SUM(G100:G124)</f>
        <v>#REF!</v>
      </c>
      <c r="H99" s="244" t="e">
        <f>SUM(H100:H124)</f>
        <v>#REF!</v>
      </c>
      <c r="I99" s="245" t="s">
        <v>5</v>
      </c>
      <c r="J99" s="246" t="e">
        <f>SUM(J100:J124)</f>
        <v>#REF!</v>
      </c>
      <c r="K99" s="244">
        <f>SUM(K100:K124)</f>
        <v>0</v>
      </c>
      <c r="L99" s="245" t="s">
        <v>5</v>
      </c>
      <c r="M99" s="246">
        <f>SUM(M100:M124)</f>
        <v>0</v>
      </c>
      <c r="N99" s="244">
        <f>SUM(N100:N124)</f>
        <v>0</v>
      </c>
      <c r="O99" s="245" t="s">
        <v>5</v>
      </c>
      <c r="P99" s="253">
        <f>SUM(P100:P124)</f>
        <v>0</v>
      </c>
      <c r="R99" s="74" t="e">
        <f t="shared" si="7"/>
        <v>#REF!</v>
      </c>
    </row>
    <row r="100" spans="1:18" s="137" customFormat="1" ht="24" customHeight="1">
      <c r="A100" s="260" t="s">
        <v>7</v>
      </c>
      <c r="B100" s="247" t="e">
        <f>SUM(E100,H100,K100,N100)</f>
        <v>#REF!</v>
      </c>
      <c r="C100" s="248" t="s">
        <v>5</v>
      </c>
      <c r="D100" s="249" t="e">
        <f>SUM(G100,J100,M100,P100)</f>
        <v>#REF!</v>
      </c>
      <c r="E100" s="247" t="e">
        <f>'마산리집계표(당초)'!K6</f>
        <v>#REF!</v>
      </c>
      <c r="F100" s="248" t="s">
        <v>5</v>
      </c>
      <c r="G100" s="249" t="e">
        <f>'마산리집계표(당초)'!M6</f>
        <v>#REF!</v>
      </c>
      <c r="H100" s="247" t="e">
        <f>#REF!</f>
        <v>#REF!</v>
      </c>
      <c r="I100" s="248" t="s">
        <v>5</v>
      </c>
      <c r="J100" s="249" t="e">
        <f>#REF!</f>
        <v>#REF!</v>
      </c>
      <c r="K100" s="247">
        <f>신흥리집계표!K6</f>
        <v>0</v>
      </c>
      <c r="L100" s="248" t="s">
        <v>5</v>
      </c>
      <c r="M100" s="249">
        <f>신흥리집계표!M6</f>
        <v>0</v>
      </c>
      <c r="N100" s="247">
        <f>죽림리집계표!K6</f>
        <v>0</v>
      </c>
      <c r="O100" s="248" t="s">
        <v>5</v>
      </c>
      <c r="P100" s="254">
        <f>죽림리집계표!M6</f>
        <v>0</v>
      </c>
      <c r="R100" s="74" t="e">
        <f t="shared" si="7"/>
        <v>#REF!</v>
      </c>
    </row>
    <row r="101" spans="1:18" s="137" customFormat="1" ht="24" customHeight="1">
      <c r="A101" s="260" t="s">
        <v>8</v>
      </c>
      <c r="B101" s="247" t="e">
        <f t="shared" ref="B101:B124" si="8">SUM(E101,H101,K101,N101)</f>
        <v>#REF!</v>
      </c>
      <c r="C101" s="248" t="s">
        <v>5</v>
      </c>
      <c r="D101" s="249" t="e">
        <f t="shared" ref="D101:D124" si="9">SUM(G101,J101,M101,P101)</f>
        <v>#REF!</v>
      </c>
      <c r="E101" s="247" t="e">
        <f>'마산리집계표(당초)'!K7</f>
        <v>#REF!</v>
      </c>
      <c r="F101" s="248" t="s">
        <v>5</v>
      </c>
      <c r="G101" s="249" t="e">
        <f>'마산리집계표(당초)'!M7</f>
        <v>#REF!</v>
      </c>
      <c r="H101" s="247" t="e">
        <f>#REF!</f>
        <v>#REF!</v>
      </c>
      <c r="I101" s="248" t="s">
        <v>5</v>
      </c>
      <c r="J101" s="249" t="e">
        <f>#REF!</f>
        <v>#REF!</v>
      </c>
      <c r="K101" s="247">
        <f>신흥리집계표!K7</f>
        <v>0</v>
      </c>
      <c r="L101" s="248" t="s">
        <v>5</v>
      </c>
      <c r="M101" s="249">
        <f>신흥리집계표!M7</f>
        <v>0</v>
      </c>
      <c r="N101" s="247">
        <f>죽림리집계표!K7</f>
        <v>0</v>
      </c>
      <c r="O101" s="248" t="s">
        <v>5</v>
      </c>
      <c r="P101" s="254">
        <f>죽림리집계표!M7</f>
        <v>0</v>
      </c>
      <c r="R101" s="74" t="e">
        <f t="shared" si="7"/>
        <v>#REF!</v>
      </c>
    </row>
    <row r="102" spans="1:18" s="137" customFormat="1" ht="24" customHeight="1">
      <c r="A102" s="260" t="s">
        <v>9</v>
      </c>
      <c r="B102" s="247" t="e">
        <f t="shared" si="8"/>
        <v>#REF!</v>
      </c>
      <c r="C102" s="248" t="s">
        <v>5</v>
      </c>
      <c r="D102" s="249" t="e">
        <f t="shared" si="9"/>
        <v>#REF!</v>
      </c>
      <c r="E102" s="247" t="e">
        <f>'마산리집계표(당초)'!K8</f>
        <v>#REF!</v>
      </c>
      <c r="F102" s="248" t="s">
        <v>5</v>
      </c>
      <c r="G102" s="249" t="e">
        <f>'마산리집계표(당초)'!M8</f>
        <v>#REF!</v>
      </c>
      <c r="H102" s="247" t="e">
        <f>#REF!</f>
        <v>#REF!</v>
      </c>
      <c r="I102" s="248" t="s">
        <v>5</v>
      </c>
      <c r="J102" s="249" t="e">
        <f>#REF!</f>
        <v>#REF!</v>
      </c>
      <c r="K102" s="247">
        <f>신흥리집계표!K8</f>
        <v>0</v>
      </c>
      <c r="L102" s="248" t="s">
        <v>5</v>
      </c>
      <c r="M102" s="249">
        <f>신흥리집계표!M8</f>
        <v>0</v>
      </c>
      <c r="N102" s="247">
        <f>죽림리집계표!K8</f>
        <v>0</v>
      </c>
      <c r="O102" s="248" t="s">
        <v>5</v>
      </c>
      <c r="P102" s="254">
        <f>죽림리집계표!M8</f>
        <v>0</v>
      </c>
      <c r="R102" s="74" t="e">
        <f t="shared" si="7"/>
        <v>#REF!</v>
      </c>
    </row>
    <row r="103" spans="1:18" s="137" customFormat="1" ht="24" customHeight="1">
      <c r="A103" s="260" t="s">
        <v>10</v>
      </c>
      <c r="B103" s="247" t="e">
        <f t="shared" si="8"/>
        <v>#REF!</v>
      </c>
      <c r="C103" s="248" t="s">
        <v>5</v>
      </c>
      <c r="D103" s="249" t="e">
        <f t="shared" si="9"/>
        <v>#REF!</v>
      </c>
      <c r="E103" s="247" t="e">
        <f>'마산리집계표(당초)'!K9</f>
        <v>#REF!</v>
      </c>
      <c r="F103" s="248" t="s">
        <v>5</v>
      </c>
      <c r="G103" s="249" t="e">
        <f>'마산리집계표(당초)'!M9</f>
        <v>#REF!</v>
      </c>
      <c r="H103" s="247" t="e">
        <f>#REF!</f>
        <v>#REF!</v>
      </c>
      <c r="I103" s="248" t="s">
        <v>5</v>
      </c>
      <c r="J103" s="249" t="e">
        <f>#REF!</f>
        <v>#REF!</v>
      </c>
      <c r="K103" s="247">
        <f>신흥리집계표!K9</f>
        <v>0</v>
      </c>
      <c r="L103" s="248" t="s">
        <v>5</v>
      </c>
      <c r="M103" s="249">
        <f>신흥리집계표!M9</f>
        <v>0</v>
      </c>
      <c r="N103" s="247">
        <f>죽림리집계표!K9</f>
        <v>0</v>
      </c>
      <c r="O103" s="248" t="s">
        <v>5</v>
      </c>
      <c r="P103" s="254">
        <f>죽림리집계표!M9</f>
        <v>0</v>
      </c>
      <c r="R103" s="74" t="e">
        <f t="shared" si="7"/>
        <v>#REF!</v>
      </c>
    </row>
    <row r="104" spans="1:18" s="137" customFormat="1" ht="24" customHeight="1">
      <c r="A104" s="260" t="s">
        <v>11</v>
      </c>
      <c r="B104" s="247" t="e">
        <f t="shared" si="8"/>
        <v>#REF!</v>
      </c>
      <c r="C104" s="248" t="s">
        <v>5</v>
      </c>
      <c r="D104" s="249" t="e">
        <f t="shared" si="9"/>
        <v>#REF!</v>
      </c>
      <c r="E104" s="247" t="e">
        <f>'마산리집계표(당초)'!K10</f>
        <v>#REF!</v>
      </c>
      <c r="F104" s="248" t="s">
        <v>5</v>
      </c>
      <c r="G104" s="249" t="e">
        <f>'마산리집계표(당초)'!M10</f>
        <v>#REF!</v>
      </c>
      <c r="H104" s="247" t="e">
        <f>#REF!</f>
        <v>#REF!</v>
      </c>
      <c r="I104" s="248" t="s">
        <v>5</v>
      </c>
      <c r="J104" s="249" t="e">
        <f>#REF!</f>
        <v>#REF!</v>
      </c>
      <c r="K104" s="247">
        <f>신흥리집계표!K10</f>
        <v>0</v>
      </c>
      <c r="L104" s="248" t="s">
        <v>5</v>
      </c>
      <c r="M104" s="249">
        <f>신흥리집계표!M10</f>
        <v>0</v>
      </c>
      <c r="N104" s="247">
        <f>죽림리집계표!K10</f>
        <v>0</v>
      </c>
      <c r="O104" s="248" t="s">
        <v>5</v>
      </c>
      <c r="P104" s="254">
        <f>죽림리집계표!M10</f>
        <v>0</v>
      </c>
      <c r="R104" s="74" t="e">
        <f t="shared" si="7"/>
        <v>#REF!</v>
      </c>
    </row>
    <row r="105" spans="1:18" s="137" customFormat="1" ht="24" customHeight="1">
      <c r="A105" s="260" t="s">
        <v>13</v>
      </c>
      <c r="B105" s="247" t="e">
        <f t="shared" si="8"/>
        <v>#REF!</v>
      </c>
      <c r="C105" s="248" t="s">
        <v>5</v>
      </c>
      <c r="D105" s="249" t="e">
        <f t="shared" si="9"/>
        <v>#REF!</v>
      </c>
      <c r="E105" s="247" t="e">
        <f>'마산리집계표(당초)'!K11</f>
        <v>#REF!</v>
      </c>
      <c r="F105" s="248" t="s">
        <v>5</v>
      </c>
      <c r="G105" s="249" t="e">
        <f>'마산리집계표(당초)'!M11</f>
        <v>#REF!</v>
      </c>
      <c r="H105" s="247" t="e">
        <f>#REF!</f>
        <v>#REF!</v>
      </c>
      <c r="I105" s="248" t="s">
        <v>5</v>
      </c>
      <c r="J105" s="249" t="e">
        <f>#REF!</f>
        <v>#REF!</v>
      </c>
      <c r="K105" s="247">
        <f>신흥리집계표!K11</f>
        <v>0</v>
      </c>
      <c r="L105" s="248" t="s">
        <v>5</v>
      </c>
      <c r="M105" s="249">
        <f>신흥리집계표!M11</f>
        <v>0</v>
      </c>
      <c r="N105" s="247">
        <f>죽림리집계표!K11</f>
        <v>0</v>
      </c>
      <c r="O105" s="248" t="s">
        <v>5</v>
      </c>
      <c r="P105" s="254">
        <f>죽림리집계표!M11</f>
        <v>0</v>
      </c>
      <c r="R105" s="74" t="e">
        <f t="shared" si="7"/>
        <v>#REF!</v>
      </c>
    </row>
    <row r="106" spans="1:18" s="137" customFormat="1" ht="24" customHeight="1">
      <c r="A106" s="260" t="s">
        <v>12</v>
      </c>
      <c r="B106" s="247" t="e">
        <f t="shared" si="8"/>
        <v>#REF!</v>
      </c>
      <c r="C106" s="248" t="s">
        <v>5</v>
      </c>
      <c r="D106" s="249" t="e">
        <f t="shared" si="9"/>
        <v>#REF!</v>
      </c>
      <c r="E106" s="247" t="e">
        <f>'마산리집계표(당초)'!K12</f>
        <v>#REF!</v>
      </c>
      <c r="F106" s="248" t="s">
        <v>5</v>
      </c>
      <c r="G106" s="249" t="e">
        <f>'마산리집계표(당초)'!M12</f>
        <v>#REF!</v>
      </c>
      <c r="H106" s="247" t="e">
        <f>#REF!</f>
        <v>#REF!</v>
      </c>
      <c r="I106" s="248" t="s">
        <v>5</v>
      </c>
      <c r="J106" s="249" t="e">
        <f>#REF!</f>
        <v>#REF!</v>
      </c>
      <c r="K106" s="247">
        <f>신흥리집계표!K12</f>
        <v>0</v>
      </c>
      <c r="L106" s="248" t="s">
        <v>5</v>
      </c>
      <c r="M106" s="249">
        <f>신흥리집계표!M12</f>
        <v>0</v>
      </c>
      <c r="N106" s="247">
        <f>죽림리집계표!K12</f>
        <v>0</v>
      </c>
      <c r="O106" s="248" t="s">
        <v>5</v>
      </c>
      <c r="P106" s="254">
        <f>죽림리집계표!M12</f>
        <v>0</v>
      </c>
      <c r="R106" s="74" t="e">
        <f t="shared" si="7"/>
        <v>#REF!</v>
      </c>
    </row>
    <row r="107" spans="1:18" s="137" customFormat="1" ht="24" customHeight="1">
      <c r="A107" s="260" t="s">
        <v>15</v>
      </c>
      <c r="B107" s="247" t="e">
        <f t="shared" si="8"/>
        <v>#REF!</v>
      </c>
      <c r="C107" s="248" t="s">
        <v>5</v>
      </c>
      <c r="D107" s="249" t="e">
        <f t="shared" si="9"/>
        <v>#REF!</v>
      </c>
      <c r="E107" s="247" t="e">
        <f>'마산리집계표(당초)'!K13</f>
        <v>#REF!</v>
      </c>
      <c r="F107" s="248" t="s">
        <v>5</v>
      </c>
      <c r="G107" s="249" t="e">
        <f>'마산리집계표(당초)'!M13</f>
        <v>#REF!</v>
      </c>
      <c r="H107" s="247" t="e">
        <f>#REF!</f>
        <v>#REF!</v>
      </c>
      <c r="I107" s="248" t="s">
        <v>5</v>
      </c>
      <c r="J107" s="249" t="e">
        <f>#REF!</f>
        <v>#REF!</v>
      </c>
      <c r="K107" s="247">
        <f>신흥리집계표!K13</f>
        <v>0</v>
      </c>
      <c r="L107" s="248" t="s">
        <v>5</v>
      </c>
      <c r="M107" s="249">
        <f>신흥리집계표!M13</f>
        <v>0</v>
      </c>
      <c r="N107" s="247">
        <f>죽림리집계표!K13</f>
        <v>0</v>
      </c>
      <c r="O107" s="248" t="s">
        <v>5</v>
      </c>
      <c r="P107" s="254">
        <f>죽림리집계표!M13</f>
        <v>0</v>
      </c>
      <c r="R107" s="74" t="e">
        <f t="shared" si="7"/>
        <v>#REF!</v>
      </c>
    </row>
    <row r="108" spans="1:18" s="137" customFormat="1" ht="24" customHeight="1">
      <c r="A108" s="260" t="s">
        <v>14</v>
      </c>
      <c r="B108" s="247" t="e">
        <f t="shared" si="8"/>
        <v>#REF!</v>
      </c>
      <c r="C108" s="248" t="s">
        <v>5</v>
      </c>
      <c r="D108" s="249" t="e">
        <f t="shared" si="9"/>
        <v>#REF!</v>
      </c>
      <c r="E108" s="247" t="e">
        <f>'마산리집계표(당초)'!K14</f>
        <v>#REF!</v>
      </c>
      <c r="F108" s="248" t="s">
        <v>5</v>
      </c>
      <c r="G108" s="249" t="e">
        <f>'마산리집계표(당초)'!M14</f>
        <v>#REF!</v>
      </c>
      <c r="H108" s="247" t="e">
        <f>#REF!</f>
        <v>#REF!</v>
      </c>
      <c r="I108" s="248" t="s">
        <v>5</v>
      </c>
      <c r="J108" s="249" t="e">
        <f>#REF!</f>
        <v>#REF!</v>
      </c>
      <c r="K108" s="247">
        <f>신흥리집계표!K14</f>
        <v>0</v>
      </c>
      <c r="L108" s="248" t="s">
        <v>5</v>
      </c>
      <c r="M108" s="249">
        <f>신흥리집계표!M14</f>
        <v>0</v>
      </c>
      <c r="N108" s="247">
        <f>죽림리집계표!K14</f>
        <v>0</v>
      </c>
      <c r="O108" s="248" t="s">
        <v>5</v>
      </c>
      <c r="P108" s="254">
        <f>죽림리집계표!M14</f>
        <v>0</v>
      </c>
      <c r="R108" s="74" t="e">
        <f t="shared" si="7"/>
        <v>#REF!</v>
      </c>
    </row>
    <row r="109" spans="1:18" s="137" customFormat="1" ht="24" customHeight="1">
      <c r="A109" s="260" t="s">
        <v>16</v>
      </c>
      <c r="B109" s="247" t="e">
        <f t="shared" si="8"/>
        <v>#REF!</v>
      </c>
      <c r="C109" s="248" t="s">
        <v>5</v>
      </c>
      <c r="D109" s="249" t="e">
        <f t="shared" si="9"/>
        <v>#REF!</v>
      </c>
      <c r="E109" s="247" t="e">
        <f>'마산리집계표(당초)'!K15</f>
        <v>#REF!</v>
      </c>
      <c r="F109" s="248" t="s">
        <v>5</v>
      </c>
      <c r="G109" s="249" t="e">
        <f>'마산리집계표(당초)'!M15</f>
        <v>#REF!</v>
      </c>
      <c r="H109" s="247" t="e">
        <f>#REF!</f>
        <v>#REF!</v>
      </c>
      <c r="I109" s="248" t="s">
        <v>5</v>
      </c>
      <c r="J109" s="249" t="e">
        <f>#REF!</f>
        <v>#REF!</v>
      </c>
      <c r="K109" s="247">
        <f>신흥리집계표!K15</f>
        <v>0</v>
      </c>
      <c r="L109" s="248" t="s">
        <v>5</v>
      </c>
      <c r="M109" s="249">
        <f>신흥리집계표!M15</f>
        <v>0</v>
      </c>
      <c r="N109" s="247">
        <f>죽림리집계표!K15</f>
        <v>0</v>
      </c>
      <c r="O109" s="248" t="s">
        <v>5</v>
      </c>
      <c r="P109" s="254">
        <f>죽림리집계표!M15</f>
        <v>0</v>
      </c>
      <c r="R109" s="74" t="e">
        <f t="shared" si="7"/>
        <v>#REF!</v>
      </c>
    </row>
    <row r="110" spans="1:18" s="137" customFormat="1" ht="24" customHeight="1">
      <c r="A110" s="260" t="s">
        <v>21</v>
      </c>
      <c r="B110" s="247" t="e">
        <f t="shared" si="8"/>
        <v>#REF!</v>
      </c>
      <c r="C110" s="248" t="s">
        <v>5</v>
      </c>
      <c r="D110" s="249" t="e">
        <f t="shared" si="9"/>
        <v>#REF!</v>
      </c>
      <c r="E110" s="247" t="e">
        <f>'마산리집계표(당초)'!K16</f>
        <v>#REF!</v>
      </c>
      <c r="F110" s="248" t="s">
        <v>5</v>
      </c>
      <c r="G110" s="249" t="e">
        <f>'마산리집계표(당초)'!M16</f>
        <v>#REF!</v>
      </c>
      <c r="H110" s="247" t="e">
        <f>#REF!</f>
        <v>#REF!</v>
      </c>
      <c r="I110" s="248" t="s">
        <v>5</v>
      </c>
      <c r="J110" s="249" t="e">
        <f>#REF!</f>
        <v>#REF!</v>
      </c>
      <c r="K110" s="247">
        <f>신흥리집계표!K16</f>
        <v>0</v>
      </c>
      <c r="L110" s="248" t="s">
        <v>5</v>
      </c>
      <c r="M110" s="249">
        <f>신흥리집계표!M16</f>
        <v>0</v>
      </c>
      <c r="N110" s="247">
        <f>죽림리집계표!K16</f>
        <v>0</v>
      </c>
      <c r="O110" s="248" t="s">
        <v>5</v>
      </c>
      <c r="P110" s="254">
        <f>죽림리집계표!M16</f>
        <v>0</v>
      </c>
      <c r="R110" s="74" t="e">
        <f t="shared" si="7"/>
        <v>#REF!</v>
      </c>
    </row>
    <row r="111" spans="1:18" s="138" customFormat="1" ht="24" customHeight="1">
      <c r="A111" s="260" t="s">
        <v>18</v>
      </c>
      <c r="B111" s="247" t="e">
        <f t="shared" si="8"/>
        <v>#REF!</v>
      </c>
      <c r="C111" s="248" t="s">
        <v>5</v>
      </c>
      <c r="D111" s="249" t="e">
        <f t="shared" si="9"/>
        <v>#REF!</v>
      </c>
      <c r="E111" s="247" t="e">
        <f>'마산리집계표(당초)'!K17</f>
        <v>#REF!</v>
      </c>
      <c r="F111" s="248" t="s">
        <v>5</v>
      </c>
      <c r="G111" s="249" t="e">
        <f>'마산리집계표(당초)'!M17</f>
        <v>#REF!</v>
      </c>
      <c r="H111" s="247" t="e">
        <f>#REF!</f>
        <v>#REF!</v>
      </c>
      <c r="I111" s="248" t="s">
        <v>5</v>
      </c>
      <c r="J111" s="249" t="e">
        <f>#REF!</f>
        <v>#REF!</v>
      </c>
      <c r="K111" s="247">
        <f>신흥리집계표!K17</f>
        <v>0</v>
      </c>
      <c r="L111" s="248" t="s">
        <v>5</v>
      </c>
      <c r="M111" s="249">
        <f>신흥리집계표!M17</f>
        <v>0</v>
      </c>
      <c r="N111" s="247">
        <f>죽림리집계표!K17</f>
        <v>0</v>
      </c>
      <c r="O111" s="248" t="s">
        <v>5</v>
      </c>
      <c r="P111" s="254">
        <f>죽림리집계표!M17</f>
        <v>0</v>
      </c>
      <c r="Q111" s="137"/>
      <c r="R111" s="74" t="e">
        <f t="shared" si="7"/>
        <v>#REF!</v>
      </c>
    </row>
    <row r="112" spans="1:18" s="138" customFormat="1" ht="24" customHeight="1">
      <c r="A112" s="260" t="s">
        <v>23</v>
      </c>
      <c r="B112" s="247" t="e">
        <f t="shared" si="8"/>
        <v>#REF!</v>
      </c>
      <c r="C112" s="248" t="s">
        <v>5</v>
      </c>
      <c r="D112" s="249" t="e">
        <f t="shared" si="9"/>
        <v>#REF!</v>
      </c>
      <c r="E112" s="247" t="e">
        <f>'마산리집계표(당초)'!K18</f>
        <v>#REF!</v>
      </c>
      <c r="F112" s="248" t="s">
        <v>5</v>
      </c>
      <c r="G112" s="249" t="e">
        <f>'마산리집계표(당초)'!M18</f>
        <v>#REF!</v>
      </c>
      <c r="H112" s="247" t="e">
        <f>#REF!</f>
        <v>#REF!</v>
      </c>
      <c r="I112" s="248" t="s">
        <v>5</v>
      </c>
      <c r="J112" s="249" t="e">
        <f>#REF!</f>
        <v>#REF!</v>
      </c>
      <c r="K112" s="247">
        <f>신흥리집계표!K18</f>
        <v>0</v>
      </c>
      <c r="L112" s="248" t="s">
        <v>5</v>
      </c>
      <c r="M112" s="249">
        <f>신흥리집계표!M18</f>
        <v>0</v>
      </c>
      <c r="N112" s="247">
        <f>죽림리집계표!K18</f>
        <v>0</v>
      </c>
      <c r="O112" s="248" t="s">
        <v>5</v>
      </c>
      <c r="P112" s="254">
        <f>죽림리집계표!M18</f>
        <v>0</v>
      </c>
      <c r="Q112" s="137"/>
      <c r="R112" s="74" t="e">
        <f t="shared" si="7"/>
        <v>#REF!</v>
      </c>
    </row>
    <row r="113" spans="1:18" s="138" customFormat="1" ht="24" customHeight="1">
      <c r="A113" s="260" t="s">
        <v>41</v>
      </c>
      <c r="B113" s="247" t="e">
        <f t="shared" si="8"/>
        <v>#REF!</v>
      </c>
      <c r="C113" s="248" t="s">
        <v>5</v>
      </c>
      <c r="D113" s="249" t="e">
        <f t="shared" si="9"/>
        <v>#REF!</v>
      </c>
      <c r="E113" s="247" t="e">
        <f>'마산리집계표(당초)'!K19</f>
        <v>#REF!</v>
      </c>
      <c r="F113" s="248" t="s">
        <v>5</v>
      </c>
      <c r="G113" s="249" t="e">
        <f>'마산리집계표(당초)'!M19</f>
        <v>#REF!</v>
      </c>
      <c r="H113" s="247" t="e">
        <f>#REF!</f>
        <v>#REF!</v>
      </c>
      <c r="I113" s="248" t="s">
        <v>5</v>
      </c>
      <c r="J113" s="249" t="e">
        <f>#REF!</f>
        <v>#REF!</v>
      </c>
      <c r="K113" s="247">
        <f>신흥리집계표!K19</f>
        <v>0</v>
      </c>
      <c r="L113" s="248" t="s">
        <v>5</v>
      </c>
      <c r="M113" s="249">
        <f>신흥리집계표!M19</f>
        <v>0</v>
      </c>
      <c r="N113" s="247">
        <f>죽림리집계표!K19</f>
        <v>0</v>
      </c>
      <c r="O113" s="248" t="s">
        <v>5</v>
      </c>
      <c r="P113" s="254">
        <f>죽림리집계표!M19</f>
        <v>0</v>
      </c>
      <c r="Q113" s="137"/>
      <c r="R113" s="74" t="e">
        <f t="shared" si="7"/>
        <v>#REF!</v>
      </c>
    </row>
    <row r="114" spans="1:18" s="138" customFormat="1" ht="24" customHeight="1">
      <c r="A114" s="260" t="s">
        <v>17</v>
      </c>
      <c r="B114" s="247" t="e">
        <f t="shared" si="8"/>
        <v>#REF!</v>
      </c>
      <c r="C114" s="248" t="s">
        <v>5</v>
      </c>
      <c r="D114" s="249" t="e">
        <f t="shared" si="9"/>
        <v>#REF!</v>
      </c>
      <c r="E114" s="247" t="e">
        <f>'마산리집계표(당초)'!K20</f>
        <v>#REF!</v>
      </c>
      <c r="F114" s="248" t="s">
        <v>5</v>
      </c>
      <c r="G114" s="249" t="e">
        <f>'마산리집계표(당초)'!M20</f>
        <v>#REF!</v>
      </c>
      <c r="H114" s="247" t="e">
        <f>#REF!</f>
        <v>#REF!</v>
      </c>
      <c r="I114" s="248" t="s">
        <v>5</v>
      </c>
      <c r="J114" s="249" t="e">
        <f>#REF!</f>
        <v>#REF!</v>
      </c>
      <c r="K114" s="247">
        <f>신흥리집계표!K20</f>
        <v>0</v>
      </c>
      <c r="L114" s="248" t="s">
        <v>5</v>
      </c>
      <c r="M114" s="249">
        <f>신흥리집계표!M20</f>
        <v>0</v>
      </c>
      <c r="N114" s="247">
        <f>죽림리집계표!K20</f>
        <v>0</v>
      </c>
      <c r="O114" s="248" t="s">
        <v>5</v>
      </c>
      <c r="P114" s="254">
        <f>죽림리집계표!M20</f>
        <v>0</v>
      </c>
      <c r="Q114" s="137"/>
      <c r="R114" s="74" t="e">
        <f t="shared" si="7"/>
        <v>#REF!</v>
      </c>
    </row>
    <row r="115" spans="1:18" s="138" customFormat="1" ht="24" customHeight="1">
      <c r="A115" s="260" t="s">
        <v>20</v>
      </c>
      <c r="B115" s="247" t="e">
        <f t="shared" si="8"/>
        <v>#REF!</v>
      </c>
      <c r="C115" s="248" t="s">
        <v>5</v>
      </c>
      <c r="D115" s="249" t="e">
        <f t="shared" si="9"/>
        <v>#REF!</v>
      </c>
      <c r="E115" s="247" t="e">
        <f>'마산리집계표(당초)'!K21</f>
        <v>#REF!</v>
      </c>
      <c r="F115" s="248" t="s">
        <v>5</v>
      </c>
      <c r="G115" s="249" t="e">
        <f>'마산리집계표(당초)'!M21</f>
        <v>#REF!</v>
      </c>
      <c r="H115" s="247" t="e">
        <f>#REF!</f>
        <v>#REF!</v>
      </c>
      <c r="I115" s="248" t="s">
        <v>5</v>
      </c>
      <c r="J115" s="249" t="e">
        <f>#REF!</f>
        <v>#REF!</v>
      </c>
      <c r="K115" s="247">
        <f>신흥리집계표!K21</f>
        <v>0</v>
      </c>
      <c r="L115" s="248" t="s">
        <v>5</v>
      </c>
      <c r="M115" s="249">
        <f>신흥리집계표!M21</f>
        <v>0</v>
      </c>
      <c r="N115" s="247">
        <f>죽림리집계표!K21</f>
        <v>0</v>
      </c>
      <c r="O115" s="248" t="s">
        <v>5</v>
      </c>
      <c r="P115" s="254">
        <f>죽림리집계표!M21</f>
        <v>0</v>
      </c>
      <c r="Q115" s="137"/>
      <c r="R115" s="74" t="e">
        <f t="shared" si="7"/>
        <v>#REF!</v>
      </c>
    </row>
    <row r="116" spans="1:18" s="138" customFormat="1" ht="24" customHeight="1">
      <c r="A116" s="260" t="s">
        <v>19</v>
      </c>
      <c r="B116" s="247" t="e">
        <f t="shared" si="8"/>
        <v>#REF!</v>
      </c>
      <c r="C116" s="248" t="s">
        <v>5</v>
      </c>
      <c r="D116" s="249" t="e">
        <f t="shared" si="9"/>
        <v>#REF!</v>
      </c>
      <c r="E116" s="247" t="e">
        <f>'마산리집계표(당초)'!K22</f>
        <v>#REF!</v>
      </c>
      <c r="F116" s="248" t="s">
        <v>5</v>
      </c>
      <c r="G116" s="249" t="e">
        <f>'마산리집계표(당초)'!M22</f>
        <v>#REF!</v>
      </c>
      <c r="H116" s="247" t="e">
        <f>#REF!</f>
        <v>#REF!</v>
      </c>
      <c r="I116" s="248" t="s">
        <v>5</v>
      </c>
      <c r="J116" s="249" t="e">
        <f>#REF!</f>
        <v>#REF!</v>
      </c>
      <c r="K116" s="247">
        <f>신흥리집계표!K22</f>
        <v>0</v>
      </c>
      <c r="L116" s="248" t="s">
        <v>5</v>
      </c>
      <c r="M116" s="249">
        <f>신흥리집계표!M22</f>
        <v>0</v>
      </c>
      <c r="N116" s="247">
        <f>죽림리집계표!K22</f>
        <v>0</v>
      </c>
      <c r="O116" s="248" t="s">
        <v>5</v>
      </c>
      <c r="P116" s="254">
        <f>죽림리집계표!M22</f>
        <v>0</v>
      </c>
      <c r="Q116" s="137"/>
      <c r="R116" s="74" t="e">
        <f t="shared" si="7"/>
        <v>#REF!</v>
      </c>
    </row>
    <row r="117" spans="1:18" s="138" customFormat="1" ht="24" customHeight="1">
      <c r="A117" s="261" t="s">
        <v>42</v>
      </c>
      <c r="B117" s="247" t="e">
        <f t="shared" si="8"/>
        <v>#REF!</v>
      </c>
      <c r="C117" s="248" t="s">
        <v>5</v>
      </c>
      <c r="D117" s="249" t="e">
        <f t="shared" si="9"/>
        <v>#REF!</v>
      </c>
      <c r="E117" s="247" t="e">
        <f>'마산리집계표(당초)'!K23</f>
        <v>#REF!</v>
      </c>
      <c r="F117" s="248" t="s">
        <v>5</v>
      </c>
      <c r="G117" s="249" t="e">
        <f>'마산리집계표(당초)'!M23</f>
        <v>#REF!</v>
      </c>
      <c r="H117" s="247" t="e">
        <f>#REF!</f>
        <v>#REF!</v>
      </c>
      <c r="I117" s="248" t="s">
        <v>5</v>
      </c>
      <c r="J117" s="249" t="e">
        <f>#REF!</f>
        <v>#REF!</v>
      </c>
      <c r="K117" s="247">
        <f>신흥리집계표!K23</f>
        <v>0</v>
      </c>
      <c r="L117" s="248" t="s">
        <v>5</v>
      </c>
      <c r="M117" s="249">
        <f>신흥리집계표!M23</f>
        <v>0</v>
      </c>
      <c r="N117" s="247">
        <f>죽림리집계표!K23</f>
        <v>0</v>
      </c>
      <c r="O117" s="248" t="s">
        <v>5</v>
      </c>
      <c r="P117" s="254">
        <f>죽림리집계표!M23</f>
        <v>0</v>
      </c>
      <c r="Q117" s="137"/>
      <c r="R117" s="74" t="e">
        <f t="shared" si="7"/>
        <v>#REF!</v>
      </c>
    </row>
    <row r="118" spans="1:18" s="138" customFormat="1" ht="24" customHeight="1">
      <c r="A118" s="261" t="s">
        <v>43</v>
      </c>
      <c r="B118" s="247" t="e">
        <f t="shared" si="8"/>
        <v>#REF!</v>
      </c>
      <c r="C118" s="248" t="s">
        <v>5</v>
      </c>
      <c r="D118" s="249" t="e">
        <f t="shared" si="9"/>
        <v>#REF!</v>
      </c>
      <c r="E118" s="247" t="e">
        <f>'마산리집계표(당초)'!K24</f>
        <v>#REF!</v>
      </c>
      <c r="F118" s="248" t="s">
        <v>5</v>
      </c>
      <c r="G118" s="249" t="e">
        <f>'마산리집계표(당초)'!M24</f>
        <v>#REF!</v>
      </c>
      <c r="H118" s="247" t="e">
        <f>#REF!</f>
        <v>#REF!</v>
      </c>
      <c r="I118" s="248" t="s">
        <v>5</v>
      </c>
      <c r="J118" s="249" t="e">
        <f>#REF!</f>
        <v>#REF!</v>
      </c>
      <c r="K118" s="247">
        <f>신흥리집계표!K24</f>
        <v>0</v>
      </c>
      <c r="L118" s="248" t="s">
        <v>5</v>
      </c>
      <c r="M118" s="249">
        <f>신흥리집계표!M24</f>
        <v>0</v>
      </c>
      <c r="N118" s="247">
        <f>죽림리집계표!K24</f>
        <v>0</v>
      </c>
      <c r="O118" s="248" t="s">
        <v>5</v>
      </c>
      <c r="P118" s="254">
        <f>죽림리집계표!M24</f>
        <v>0</v>
      </c>
      <c r="Q118" s="137"/>
      <c r="R118" s="74" t="e">
        <f t="shared" si="7"/>
        <v>#REF!</v>
      </c>
    </row>
    <row r="119" spans="1:18" s="138" customFormat="1" ht="24" customHeight="1">
      <c r="A119" s="261" t="s">
        <v>44</v>
      </c>
      <c r="B119" s="247" t="e">
        <f t="shared" si="8"/>
        <v>#REF!</v>
      </c>
      <c r="C119" s="248" t="s">
        <v>5</v>
      </c>
      <c r="D119" s="249" t="e">
        <f t="shared" si="9"/>
        <v>#REF!</v>
      </c>
      <c r="E119" s="247" t="e">
        <f>'마산리집계표(당초)'!K25</f>
        <v>#REF!</v>
      </c>
      <c r="F119" s="248" t="s">
        <v>5</v>
      </c>
      <c r="G119" s="249" t="e">
        <f>'마산리집계표(당초)'!M25</f>
        <v>#REF!</v>
      </c>
      <c r="H119" s="247" t="e">
        <f>#REF!</f>
        <v>#REF!</v>
      </c>
      <c r="I119" s="248" t="s">
        <v>5</v>
      </c>
      <c r="J119" s="249" t="e">
        <f>#REF!</f>
        <v>#REF!</v>
      </c>
      <c r="K119" s="247">
        <f>신흥리집계표!K25</f>
        <v>0</v>
      </c>
      <c r="L119" s="248" t="s">
        <v>5</v>
      </c>
      <c r="M119" s="249">
        <f>신흥리집계표!M25</f>
        <v>0</v>
      </c>
      <c r="N119" s="247">
        <f>죽림리집계표!K25</f>
        <v>0</v>
      </c>
      <c r="O119" s="248" t="s">
        <v>5</v>
      </c>
      <c r="P119" s="254">
        <f>죽림리집계표!M25</f>
        <v>0</v>
      </c>
      <c r="Q119" s="137"/>
      <c r="R119" s="74" t="e">
        <f t="shared" si="7"/>
        <v>#REF!</v>
      </c>
    </row>
    <row r="120" spans="1:18" s="138" customFormat="1" ht="24" customHeight="1">
      <c r="A120" s="261" t="s">
        <v>45</v>
      </c>
      <c r="B120" s="247" t="e">
        <f t="shared" si="8"/>
        <v>#REF!</v>
      </c>
      <c r="C120" s="248" t="s">
        <v>5</v>
      </c>
      <c r="D120" s="249" t="e">
        <f t="shared" si="9"/>
        <v>#REF!</v>
      </c>
      <c r="E120" s="247" t="e">
        <f>'마산리집계표(당초)'!K26</f>
        <v>#REF!</v>
      </c>
      <c r="F120" s="248" t="s">
        <v>5</v>
      </c>
      <c r="G120" s="249" t="e">
        <f>'마산리집계표(당초)'!M26</f>
        <v>#REF!</v>
      </c>
      <c r="H120" s="247" t="e">
        <f>#REF!</f>
        <v>#REF!</v>
      </c>
      <c r="I120" s="248" t="s">
        <v>5</v>
      </c>
      <c r="J120" s="249" t="e">
        <f>#REF!</f>
        <v>#REF!</v>
      </c>
      <c r="K120" s="247">
        <f>신흥리집계표!K26</f>
        <v>0</v>
      </c>
      <c r="L120" s="248" t="s">
        <v>5</v>
      </c>
      <c r="M120" s="249">
        <f>신흥리집계표!M26</f>
        <v>0</v>
      </c>
      <c r="N120" s="247">
        <f>죽림리집계표!K26</f>
        <v>0</v>
      </c>
      <c r="O120" s="248" t="s">
        <v>5</v>
      </c>
      <c r="P120" s="254">
        <f>죽림리집계표!M26</f>
        <v>0</v>
      </c>
      <c r="Q120" s="137"/>
      <c r="R120" s="74" t="e">
        <f t="shared" si="7"/>
        <v>#REF!</v>
      </c>
    </row>
    <row r="121" spans="1:18" s="138" customFormat="1" ht="24" customHeight="1">
      <c r="A121" s="261" t="s">
        <v>60</v>
      </c>
      <c r="B121" s="247" t="e">
        <f t="shared" si="8"/>
        <v>#REF!</v>
      </c>
      <c r="C121" s="248" t="s">
        <v>5</v>
      </c>
      <c r="D121" s="249" t="e">
        <f t="shared" si="9"/>
        <v>#REF!</v>
      </c>
      <c r="E121" s="247" t="e">
        <f>'마산리집계표(당초)'!K27</f>
        <v>#REF!</v>
      </c>
      <c r="F121" s="248" t="s">
        <v>5</v>
      </c>
      <c r="G121" s="249" t="e">
        <f>'마산리집계표(당초)'!M27</f>
        <v>#REF!</v>
      </c>
      <c r="H121" s="247" t="e">
        <f>#REF!</f>
        <v>#REF!</v>
      </c>
      <c r="I121" s="248" t="s">
        <v>5</v>
      </c>
      <c r="J121" s="249" t="e">
        <f>#REF!</f>
        <v>#REF!</v>
      </c>
      <c r="K121" s="247">
        <f>신흥리집계표!K27</f>
        <v>0</v>
      </c>
      <c r="L121" s="248" t="s">
        <v>5</v>
      </c>
      <c r="M121" s="249">
        <f>신흥리집계표!M27</f>
        <v>0</v>
      </c>
      <c r="N121" s="247">
        <f>죽림리집계표!K27</f>
        <v>0</v>
      </c>
      <c r="O121" s="248" t="s">
        <v>5</v>
      </c>
      <c r="P121" s="254">
        <f>죽림리집계표!M27</f>
        <v>0</v>
      </c>
      <c r="Q121" s="137"/>
      <c r="R121" s="74" t="e">
        <f t="shared" si="7"/>
        <v>#REF!</v>
      </c>
    </row>
    <row r="122" spans="1:18" s="138" customFormat="1" ht="24" customHeight="1">
      <c r="A122" s="261" t="s">
        <v>56</v>
      </c>
      <c r="B122" s="247" t="e">
        <f t="shared" si="8"/>
        <v>#REF!</v>
      </c>
      <c r="C122" s="248" t="s">
        <v>5</v>
      </c>
      <c r="D122" s="249" t="e">
        <f t="shared" si="9"/>
        <v>#REF!</v>
      </c>
      <c r="E122" s="247" t="e">
        <f>'마산리집계표(당초)'!K28</f>
        <v>#REF!</v>
      </c>
      <c r="F122" s="248" t="s">
        <v>5</v>
      </c>
      <c r="G122" s="249" t="e">
        <f>'마산리집계표(당초)'!M28</f>
        <v>#REF!</v>
      </c>
      <c r="H122" s="247" t="e">
        <f>#REF!</f>
        <v>#REF!</v>
      </c>
      <c r="I122" s="248" t="s">
        <v>5</v>
      </c>
      <c r="J122" s="249" t="e">
        <f>#REF!</f>
        <v>#REF!</v>
      </c>
      <c r="K122" s="247">
        <f>신흥리집계표!K28</f>
        <v>0</v>
      </c>
      <c r="L122" s="248" t="s">
        <v>5</v>
      </c>
      <c r="M122" s="249">
        <f>신흥리집계표!M28</f>
        <v>0</v>
      </c>
      <c r="N122" s="247">
        <f>죽림리집계표!K28</f>
        <v>0</v>
      </c>
      <c r="O122" s="248" t="s">
        <v>5</v>
      </c>
      <c r="P122" s="254">
        <f>죽림리집계표!M28</f>
        <v>0</v>
      </c>
      <c r="Q122" s="137"/>
      <c r="R122" s="74" t="e">
        <f t="shared" si="7"/>
        <v>#REF!</v>
      </c>
    </row>
    <row r="123" spans="1:18" s="138" customFormat="1" ht="24" customHeight="1">
      <c r="A123" s="261" t="s">
        <v>57</v>
      </c>
      <c r="B123" s="247" t="e">
        <f t="shared" si="8"/>
        <v>#REF!</v>
      </c>
      <c r="C123" s="248" t="s">
        <v>5</v>
      </c>
      <c r="D123" s="249" t="e">
        <f t="shared" si="9"/>
        <v>#REF!</v>
      </c>
      <c r="E123" s="247" t="e">
        <f>'마산리집계표(당초)'!K29</f>
        <v>#REF!</v>
      </c>
      <c r="F123" s="248" t="s">
        <v>5</v>
      </c>
      <c r="G123" s="249" t="e">
        <f>'마산리집계표(당초)'!M29</f>
        <v>#REF!</v>
      </c>
      <c r="H123" s="247" t="e">
        <f>#REF!</f>
        <v>#REF!</v>
      </c>
      <c r="I123" s="248" t="s">
        <v>5</v>
      </c>
      <c r="J123" s="249" t="e">
        <f>#REF!</f>
        <v>#REF!</v>
      </c>
      <c r="K123" s="247">
        <f>신흥리집계표!K29</f>
        <v>0</v>
      </c>
      <c r="L123" s="248" t="s">
        <v>5</v>
      </c>
      <c r="M123" s="249">
        <f>신흥리집계표!M29</f>
        <v>0</v>
      </c>
      <c r="N123" s="247">
        <f>죽림리집계표!K29</f>
        <v>0</v>
      </c>
      <c r="O123" s="248" t="s">
        <v>5</v>
      </c>
      <c r="P123" s="254">
        <f>죽림리집계표!M29</f>
        <v>0</v>
      </c>
      <c r="Q123" s="137"/>
      <c r="R123" s="74" t="e">
        <f t="shared" si="7"/>
        <v>#REF!</v>
      </c>
    </row>
    <row r="124" spans="1:18" s="138" customFormat="1" ht="24" customHeight="1">
      <c r="A124" s="262" t="s">
        <v>24</v>
      </c>
      <c r="B124" s="250" t="e">
        <f t="shared" si="8"/>
        <v>#REF!</v>
      </c>
      <c r="C124" s="251" t="s">
        <v>5</v>
      </c>
      <c r="D124" s="252" t="e">
        <f t="shared" si="9"/>
        <v>#REF!</v>
      </c>
      <c r="E124" s="250" t="e">
        <f>'마산리집계표(당초)'!K30</f>
        <v>#REF!</v>
      </c>
      <c r="F124" s="251" t="s">
        <v>5</v>
      </c>
      <c r="G124" s="252" t="e">
        <f>'마산리집계표(당초)'!M30</f>
        <v>#REF!</v>
      </c>
      <c r="H124" s="247" t="e">
        <f>#REF!</f>
        <v>#REF!</v>
      </c>
      <c r="I124" s="251" t="s">
        <v>5</v>
      </c>
      <c r="J124" s="249" t="e">
        <f>#REF!</f>
        <v>#REF!</v>
      </c>
      <c r="K124" s="250">
        <f>신흥리집계표!K30</f>
        <v>0</v>
      </c>
      <c r="L124" s="251" t="s">
        <v>5</v>
      </c>
      <c r="M124" s="252">
        <f>신흥리집계표!M30</f>
        <v>0</v>
      </c>
      <c r="N124" s="250">
        <f>죽림리집계표!K30</f>
        <v>0</v>
      </c>
      <c r="O124" s="251" t="s">
        <v>5</v>
      </c>
      <c r="P124" s="255">
        <f>죽림리집계표!M30</f>
        <v>0</v>
      </c>
      <c r="Q124" s="137"/>
      <c r="R124" s="74" t="e">
        <f t="shared" si="7"/>
        <v>#REF!</v>
      </c>
    </row>
    <row r="125" spans="1:18" ht="18" customHeight="1">
      <c r="Q125" s="136"/>
      <c r="R125" s="136"/>
    </row>
    <row r="126" spans="1:18" ht="18" customHeight="1">
      <c r="Q126" s="136"/>
      <c r="R126" s="136"/>
    </row>
    <row r="127" spans="1:18" ht="18" customHeight="1">
      <c r="Q127" s="136"/>
      <c r="R127" s="136"/>
    </row>
    <row r="128" spans="1:18" ht="18" customHeight="1">
      <c r="Q128" s="136"/>
      <c r="R128" s="136"/>
    </row>
    <row r="129" spans="17:18" ht="18" customHeight="1">
      <c r="Q129" s="136"/>
      <c r="R129" s="136"/>
    </row>
    <row r="130" spans="17:18" ht="18" customHeight="1">
      <c r="Q130" s="136"/>
      <c r="R130" s="136"/>
    </row>
    <row r="131" spans="17:18" ht="18" customHeight="1">
      <c r="Q131" s="136"/>
      <c r="R131" s="136"/>
    </row>
    <row r="132" spans="17:18" ht="18" customHeight="1">
      <c r="Q132" s="136"/>
      <c r="R132" s="136"/>
    </row>
    <row r="133" spans="17:18" ht="18" customHeight="1">
      <c r="Q133" s="136"/>
      <c r="R133" s="136"/>
    </row>
    <row r="134" spans="17:18" ht="18" customHeight="1">
      <c r="Q134" s="136"/>
      <c r="R134" s="136"/>
    </row>
    <row r="135" spans="17:18" ht="18" customHeight="1">
      <c r="Q135" s="136"/>
      <c r="R135" s="136"/>
    </row>
    <row r="136" spans="17:18" ht="18" customHeight="1">
      <c r="Q136" s="136"/>
      <c r="R136" s="136"/>
    </row>
    <row r="137" spans="17:18" ht="18" customHeight="1">
      <c r="Q137" s="136"/>
      <c r="R137" s="136"/>
    </row>
    <row r="138" spans="17:18" ht="18" customHeight="1">
      <c r="Q138" s="136"/>
      <c r="R138" s="136"/>
    </row>
    <row r="139" spans="17:18" ht="18" customHeight="1">
      <c r="Q139" s="136"/>
      <c r="R139" s="136"/>
    </row>
    <row r="140" spans="17:18" ht="18" customHeight="1">
      <c r="Q140" s="136"/>
      <c r="R140" s="136"/>
    </row>
    <row r="141" spans="17:18" ht="18" customHeight="1">
      <c r="Q141" s="136"/>
      <c r="R141" s="136"/>
    </row>
    <row r="142" spans="17:18" ht="18" customHeight="1">
      <c r="Q142" s="136"/>
      <c r="R142" s="136"/>
    </row>
    <row r="143" spans="17:18" ht="18" customHeight="1">
      <c r="Q143" s="136"/>
      <c r="R143" s="136"/>
    </row>
    <row r="144" spans="17:18" ht="18" customHeight="1">
      <c r="Q144" s="136"/>
      <c r="R144" s="136"/>
    </row>
    <row r="145" spans="17:18" ht="18" customHeight="1">
      <c r="Q145" s="136"/>
      <c r="R145" s="136"/>
    </row>
    <row r="146" spans="17:18" ht="18" customHeight="1">
      <c r="Q146" s="136"/>
      <c r="R146" s="136"/>
    </row>
    <row r="147" spans="17:18" ht="18" customHeight="1">
      <c r="Q147" s="136"/>
      <c r="R147" s="136"/>
    </row>
    <row r="148" spans="17:18" ht="18" customHeight="1">
      <c r="Q148" s="136"/>
      <c r="R148" s="136"/>
    </row>
    <row r="149" spans="17:18" ht="18" customHeight="1">
      <c r="Q149" s="136"/>
      <c r="R149" s="136"/>
    </row>
    <row r="150" spans="17:18" ht="18" customHeight="1">
      <c r="Q150" s="136"/>
      <c r="R150" s="136"/>
    </row>
    <row r="151" spans="17:18" ht="18" customHeight="1">
      <c r="Q151" s="136"/>
      <c r="R151" s="136"/>
    </row>
    <row r="152" spans="17:18" ht="18" customHeight="1">
      <c r="Q152" s="136"/>
      <c r="R152" s="136"/>
    </row>
    <row r="153" spans="17:18" ht="18" customHeight="1">
      <c r="Q153" s="136"/>
      <c r="R153" s="136"/>
    </row>
    <row r="154" spans="17:18" ht="18" customHeight="1">
      <c r="Q154" s="136"/>
      <c r="R154" s="136"/>
    </row>
  </sheetData>
  <mergeCells count="10">
    <mergeCell ref="E4:G4"/>
    <mergeCell ref="K4:M4"/>
    <mergeCell ref="A3:A5"/>
    <mergeCell ref="A34:A36"/>
    <mergeCell ref="A65:A67"/>
    <mergeCell ref="A96:A98"/>
    <mergeCell ref="B3:D4"/>
    <mergeCell ref="B34:D35"/>
    <mergeCell ref="B96:D97"/>
    <mergeCell ref="B65:D66"/>
  </mergeCells>
  <phoneticPr fontId="11" type="noConversion"/>
  <printOptions horizontalCentered="1" verticalCentered="1"/>
  <pageMargins left="0.19685039370078741" right="0.19685039370078741" top="0.78740157480314965" bottom="0.59055118110236227" header="0.59055118110236227" footer="0.19685039370078741"/>
  <pageSetup paperSize="9" orientation="portrait" horizontalDpi="4294967292" r:id="rId1"/>
  <headerFooter alignWithMargins="0"/>
  <rowBreaks count="3" manualBreakCount="3">
    <brk id="31" max="15" man="1"/>
    <brk id="62" max="15" man="1"/>
    <brk id="93" max="2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502"/>
  <sheetViews>
    <sheetView showZeros="0" view="pageBreakPreview" zoomScale="70" zoomScaleSheetLayoutView="70" workbookViewId="0">
      <selection activeCell="H14" sqref="H14"/>
    </sheetView>
  </sheetViews>
  <sheetFormatPr defaultRowHeight="12"/>
  <cols>
    <col min="1" max="2" width="6.77734375" style="409" customWidth="1"/>
    <col min="3" max="3" width="6.77734375" style="410" customWidth="1"/>
    <col min="4" max="4" width="2.77734375" style="410" customWidth="1"/>
    <col min="5" max="5" width="10.77734375" style="410" customWidth="1"/>
    <col min="6" max="6" width="6.77734375" style="410" customWidth="1"/>
    <col min="7" max="7" width="2.77734375" style="410" customWidth="1"/>
    <col min="8" max="8" width="10.77734375" style="410" customWidth="1"/>
    <col min="9" max="9" width="6.77734375" style="410" customWidth="1"/>
    <col min="10" max="10" width="2.77734375" style="410" customWidth="1"/>
    <col min="11" max="11" width="10.77734375" style="410" customWidth="1"/>
    <col min="12" max="12" width="6.77734375" style="410" customWidth="1"/>
    <col min="13" max="13" width="2.77734375" style="410" customWidth="1"/>
    <col min="14" max="14" width="10.77734375" style="410" customWidth="1"/>
    <col min="15" max="15" width="5.77734375" style="410" customWidth="1"/>
    <col min="16" max="21" width="12.21875" style="410" customWidth="1"/>
    <col min="22" max="23" width="8.33203125" style="410" customWidth="1"/>
    <col min="24" max="16384" width="8.88671875" style="410"/>
  </cols>
  <sheetData>
    <row r="1" spans="1:28" s="348" customFormat="1" ht="48.75" customHeight="1">
      <c r="A1" s="484" t="s">
        <v>349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6"/>
      <c r="P1" s="416"/>
    </row>
    <row r="2" spans="1:28" s="352" customFormat="1" ht="20.100000000000001" customHeight="1">
      <c r="A2" s="349"/>
      <c r="B2" s="350"/>
      <c r="C2" s="351"/>
      <c r="D2" s="351"/>
      <c r="E2" s="351"/>
      <c r="F2" s="351"/>
      <c r="G2" s="351"/>
      <c r="H2" s="482" t="s">
        <v>359</v>
      </c>
      <c r="I2" s="482"/>
      <c r="J2" s="482"/>
      <c r="K2" s="482"/>
      <c r="L2" s="482"/>
      <c r="M2" s="482"/>
      <c r="N2" s="482"/>
      <c r="O2" s="483"/>
      <c r="P2" s="412"/>
    </row>
    <row r="3" spans="1:28" s="352" customFormat="1" ht="4.5" customHeight="1">
      <c r="A3" s="349"/>
      <c r="B3" s="350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429"/>
      <c r="P3" s="413"/>
    </row>
    <row r="4" spans="1:28" s="354" customFormat="1" ht="24.95" customHeight="1">
      <c r="A4" s="470" t="s">
        <v>350</v>
      </c>
      <c r="B4" s="471"/>
      <c r="C4" s="476" t="s">
        <v>3</v>
      </c>
      <c r="D4" s="476"/>
      <c r="E4" s="477"/>
      <c r="F4" s="480" t="s">
        <v>47</v>
      </c>
      <c r="G4" s="476"/>
      <c r="H4" s="477"/>
      <c r="I4" s="480" t="s">
        <v>360</v>
      </c>
      <c r="J4" s="476"/>
      <c r="K4" s="477"/>
      <c r="L4" s="480" t="s">
        <v>48</v>
      </c>
      <c r="M4" s="476"/>
      <c r="N4" s="477"/>
      <c r="O4" s="467" t="s">
        <v>22</v>
      </c>
      <c r="P4" s="463"/>
      <c r="T4" s="353"/>
      <c r="U4" s="353"/>
      <c r="V4" s="353"/>
      <c r="W4" s="353"/>
    </row>
    <row r="5" spans="1:28" s="354" customFormat="1" ht="24.95" customHeight="1">
      <c r="A5" s="472"/>
      <c r="B5" s="473"/>
      <c r="C5" s="478"/>
      <c r="D5" s="478"/>
      <c r="E5" s="479"/>
      <c r="F5" s="481"/>
      <c r="G5" s="478"/>
      <c r="H5" s="479"/>
      <c r="I5" s="481"/>
      <c r="J5" s="478"/>
      <c r="K5" s="479"/>
      <c r="L5" s="481"/>
      <c r="M5" s="478"/>
      <c r="N5" s="479"/>
      <c r="O5" s="468"/>
      <c r="P5" s="464"/>
      <c r="T5" s="353"/>
      <c r="U5" s="353"/>
      <c r="V5" s="467" t="s">
        <v>22</v>
      </c>
      <c r="W5" s="353"/>
    </row>
    <row r="6" spans="1:28" s="354" customFormat="1" ht="33" customHeight="1" thickBot="1">
      <c r="A6" s="474"/>
      <c r="B6" s="475"/>
      <c r="C6" s="355" t="s">
        <v>4</v>
      </c>
      <c r="D6" s="355" t="s">
        <v>5</v>
      </c>
      <c r="E6" s="356" t="s">
        <v>49</v>
      </c>
      <c r="F6" s="357" t="s">
        <v>4</v>
      </c>
      <c r="G6" s="355" t="s">
        <v>5</v>
      </c>
      <c r="H6" s="356" t="s">
        <v>49</v>
      </c>
      <c r="I6" s="357" t="s">
        <v>4</v>
      </c>
      <c r="J6" s="355" t="s">
        <v>5</v>
      </c>
      <c r="K6" s="356" t="s">
        <v>49</v>
      </c>
      <c r="L6" s="357" t="s">
        <v>4</v>
      </c>
      <c r="M6" s="355" t="s">
        <v>5</v>
      </c>
      <c r="N6" s="356" t="s">
        <v>49</v>
      </c>
      <c r="O6" s="469"/>
      <c r="P6" s="465"/>
      <c r="Q6" s="353"/>
      <c r="R6" s="358" t="e">
        <f>'마산리집계표(당초)'!D5+#REF!</f>
        <v>#REF!</v>
      </c>
      <c r="S6" s="358"/>
      <c r="T6" s="358"/>
      <c r="U6" s="358"/>
      <c r="V6" s="468"/>
      <c r="W6" s="466"/>
      <c r="X6" s="466"/>
      <c r="Y6" s="466"/>
      <c r="Z6" s="466"/>
      <c r="AA6" s="466"/>
      <c r="AB6" s="466"/>
    </row>
    <row r="7" spans="1:28" s="368" customFormat="1" ht="35.1" customHeight="1" thickTop="1" thickBot="1">
      <c r="A7" s="445" t="s">
        <v>3</v>
      </c>
      <c r="B7" s="359" t="s">
        <v>345</v>
      </c>
      <c r="C7" s="360" t="e">
        <f>'마산리집계표(당초)'!B5</f>
        <v>#REF!</v>
      </c>
      <c r="D7" s="361" t="s">
        <v>5</v>
      </c>
      <c r="E7" s="362" t="e">
        <f>'마산리집계표(당초)'!G5</f>
        <v>#REF!</v>
      </c>
      <c r="F7" s="363" t="e">
        <f>'마산리집계표(당초)'!H5</f>
        <v>#REF!</v>
      </c>
      <c r="G7" s="364" t="s">
        <v>5</v>
      </c>
      <c r="H7" s="362" t="e">
        <f>'마산리집계표(당초)'!J5</f>
        <v>#REF!</v>
      </c>
      <c r="I7" s="360" t="e">
        <f>'마산리집계표(당초)'!H5</f>
        <v>#REF!</v>
      </c>
      <c r="J7" s="364" t="s">
        <v>5</v>
      </c>
      <c r="K7" s="415" t="e">
        <f>'마산리집계표(당초)'!J5</f>
        <v>#REF!</v>
      </c>
      <c r="L7" s="360" t="e">
        <f>'마산리집계표(당초)'!K5</f>
        <v>#REF!</v>
      </c>
      <c r="M7" s="364" t="s">
        <v>5</v>
      </c>
      <c r="N7" s="362" t="e">
        <f>'마산리집계표(당초)'!M5</f>
        <v>#REF!</v>
      </c>
      <c r="O7" s="430"/>
      <c r="P7" s="365"/>
      <c r="Q7" s="366"/>
      <c r="R7" s="367"/>
      <c r="S7" s="367"/>
      <c r="T7" s="367"/>
      <c r="U7" s="367"/>
      <c r="V7" s="469"/>
      <c r="W7" s="366"/>
    </row>
    <row r="8" spans="1:28" s="354" customFormat="1" ht="35.1" customHeight="1" thickTop="1">
      <c r="A8" s="446"/>
      <c r="B8" s="369" t="s">
        <v>346</v>
      </c>
      <c r="C8" s="370" t="e">
        <f>'마산리집계표 (변경)'!B5</f>
        <v>#REF!</v>
      </c>
      <c r="D8" s="371" t="s">
        <v>5</v>
      </c>
      <c r="E8" s="372" t="e">
        <f>'마산리집계표 (변경)'!D5</f>
        <v>#REF!</v>
      </c>
      <c r="F8" s="373" t="e">
        <f>'마산리집계표 (변경)'!E5</f>
        <v>#REF!</v>
      </c>
      <c r="G8" s="371" t="s">
        <v>5</v>
      </c>
      <c r="H8" s="372" t="e">
        <f>'마산리집계표 (변경)'!G5</f>
        <v>#REF!</v>
      </c>
      <c r="I8" s="370" t="e">
        <f>'마산리집계표 (변경)'!H5</f>
        <v>#REF!</v>
      </c>
      <c r="J8" s="371" t="s">
        <v>5</v>
      </c>
      <c r="K8" s="372" t="e">
        <f>'마산리집계표 (변경)'!J5</f>
        <v>#REF!</v>
      </c>
      <c r="L8" s="370" t="e">
        <f>'마산리집계표 (변경)'!K5</f>
        <v>#REF!</v>
      </c>
      <c r="M8" s="371" t="s">
        <v>5</v>
      </c>
      <c r="N8" s="372" t="e">
        <f>'마산리집계표 (변경)'!M5</f>
        <v>#REF!</v>
      </c>
      <c r="O8" s="423"/>
      <c r="P8" s="374"/>
      <c r="Q8" s="353"/>
      <c r="R8" s="375"/>
      <c r="S8" s="375"/>
      <c r="T8" s="375"/>
      <c r="U8" s="375"/>
      <c r="V8" s="365"/>
      <c r="W8" s="353"/>
    </row>
    <row r="9" spans="1:28" s="368" customFormat="1" ht="35.1" customHeight="1">
      <c r="A9" s="461" t="s">
        <v>7</v>
      </c>
      <c r="B9" s="376" t="s">
        <v>345</v>
      </c>
      <c r="C9" s="377"/>
      <c r="D9" s="378" t="s">
        <v>5</v>
      </c>
      <c r="E9" s="379"/>
      <c r="F9" s="380"/>
      <c r="G9" s="381" t="s">
        <v>5</v>
      </c>
      <c r="H9" s="379"/>
      <c r="I9" s="377"/>
      <c r="J9" s="381" t="s">
        <v>5</v>
      </c>
      <c r="K9" s="379"/>
      <c r="L9" s="377"/>
      <c r="M9" s="381" t="s">
        <v>5</v>
      </c>
      <c r="N9" s="379"/>
      <c r="O9" s="424"/>
      <c r="P9" s="382"/>
      <c r="Q9" s="366"/>
      <c r="R9" s="367"/>
      <c r="S9" s="367"/>
      <c r="T9" s="367"/>
      <c r="U9" s="367"/>
      <c r="V9" s="374"/>
      <c r="W9" s="366"/>
    </row>
    <row r="10" spans="1:28" s="354" customFormat="1" ht="35.1" customHeight="1">
      <c r="A10" s="446"/>
      <c r="B10" s="383" t="s">
        <v>346</v>
      </c>
      <c r="C10" s="384"/>
      <c r="D10" s="371" t="s">
        <v>5</v>
      </c>
      <c r="E10" s="385"/>
      <c r="F10" s="386"/>
      <c r="G10" s="371" t="s">
        <v>5</v>
      </c>
      <c r="H10" s="385"/>
      <c r="I10" s="384"/>
      <c r="J10" s="371" t="s">
        <v>5</v>
      </c>
      <c r="K10" s="385"/>
      <c r="L10" s="384"/>
      <c r="M10" s="371" t="s">
        <v>5</v>
      </c>
      <c r="N10" s="385"/>
      <c r="O10" s="425"/>
      <c r="P10" s="387"/>
      <c r="Q10" s="353"/>
      <c r="R10" s="375"/>
      <c r="S10" s="375"/>
      <c r="T10" s="375"/>
      <c r="U10" s="375"/>
      <c r="V10" s="382"/>
      <c r="W10" s="353"/>
    </row>
    <row r="11" spans="1:28" s="368" customFormat="1" ht="35.1" customHeight="1">
      <c r="A11" s="461" t="s">
        <v>67</v>
      </c>
      <c r="B11" s="376" t="s">
        <v>345</v>
      </c>
      <c r="C11" s="377"/>
      <c r="D11" s="378" t="s">
        <v>5</v>
      </c>
      <c r="E11" s="379"/>
      <c r="F11" s="380"/>
      <c r="G11" s="381" t="s">
        <v>5</v>
      </c>
      <c r="H11" s="379"/>
      <c r="I11" s="377"/>
      <c r="J11" s="381" t="s">
        <v>5</v>
      </c>
      <c r="K11" s="379"/>
      <c r="L11" s="377"/>
      <c r="M11" s="381" t="s">
        <v>5</v>
      </c>
      <c r="N11" s="379"/>
      <c r="O11" s="424"/>
      <c r="P11" s="382"/>
      <c r="R11" s="366"/>
      <c r="T11" s="366"/>
      <c r="V11" s="387"/>
      <c r="W11" s="366"/>
    </row>
    <row r="12" spans="1:28" s="354" customFormat="1" ht="35.1" customHeight="1">
      <c r="A12" s="446"/>
      <c r="B12" s="383" t="s">
        <v>346</v>
      </c>
      <c r="C12" s="384"/>
      <c r="D12" s="388" t="s">
        <v>5</v>
      </c>
      <c r="E12" s="385"/>
      <c r="F12" s="386"/>
      <c r="G12" s="371" t="s">
        <v>5</v>
      </c>
      <c r="H12" s="385"/>
      <c r="I12" s="384"/>
      <c r="J12" s="371" t="s">
        <v>5</v>
      </c>
      <c r="K12" s="385"/>
      <c r="L12" s="384"/>
      <c r="M12" s="371" t="s">
        <v>5</v>
      </c>
      <c r="N12" s="385"/>
      <c r="O12" s="425"/>
      <c r="P12" s="387"/>
      <c r="R12" s="353"/>
      <c r="T12" s="353"/>
      <c r="V12" s="382"/>
      <c r="W12" s="353"/>
    </row>
    <row r="13" spans="1:28" s="368" customFormat="1" ht="35.1" customHeight="1">
      <c r="A13" s="461" t="s">
        <v>355</v>
      </c>
      <c r="B13" s="376" t="s">
        <v>345</v>
      </c>
      <c r="C13" s="377"/>
      <c r="D13" s="378" t="s">
        <v>5</v>
      </c>
      <c r="E13" s="379"/>
      <c r="F13" s="380"/>
      <c r="G13" s="381" t="s">
        <v>5</v>
      </c>
      <c r="H13" s="379"/>
      <c r="I13" s="377"/>
      <c r="J13" s="381" t="s">
        <v>5</v>
      </c>
      <c r="K13" s="379"/>
      <c r="L13" s="377"/>
      <c r="M13" s="381" t="s">
        <v>5</v>
      </c>
      <c r="N13" s="379"/>
      <c r="O13" s="424"/>
      <c r="P13" s="382"/>
      <c r="Q13" s="366"/>
      <c r="R13" s="366"/>
      <c r="S13" s="366"/>
      <c r="T13" s="366"/>
      <c r="U13" s="366"/>
      <c r="V13" s="387"/>
      <c r="W13" s="366"/>
    </row>
    <row r="14" spans="1:28" s="354" customFormat="1" ht="35.1" customHeight="1">
      <c r="A14" s="446"/>
      <c r="B14" s="383" t="s">
        <v>346</v>
      </c>
      <c r="C14" s="384"/>
      <c r="D14" s="388" t="s">
        <v>5</v>
      </c>
      <c r="E14" s="385"/>
      <c r="F14" s="386"/>
      <c r="G14" s="371" t="s">
        <v>5</v>
      </c>
      <c r="H14" s="385"/>
      <c r="I14" s="384"/>
      <c r="J14" s="371" t="s">
        <v>5</v>
      </c>
      <c r="K14" s="385"/>
      <c r="L14" s="384"/>
      <c r="M14" s="371" t="s">
        <v>5</v>
      </c>
      <c r="N14" s="385"/>
      <c r="O14" s="425"/>
      <c r="P14" s="387"/>
      <c r="Q14" s="353"/>
      <c r="R14" s="353"/>
      <c r="S14" s="353"/>
      <c r="T14" s="353"/>
      <c r="U14" s="353"/>
      <c r="V14" s="382"/>
      <c r="W14" s="353"/>
    </row>
    <row r="15" spans="1:28" s="368" customFormat="1" ht="35.1" customHeight="1">
      <c r="A15" s="461" t="s">
        <v>356</v>
      </c>
      <c r="B15" s="376" t="s">
        <v>345</v>
      </c>
      <c r="C15" s="377" t="e">
        <f>'마산리집계표(당초)'!B9</f>
        <v>#REF!</v>
      </c>
      <c r="D15" s="378" t="s">
        <v>5</v>
      </c>
      <c r="E15" s="379" t="e">
        <f>'마산리집계표(당초)'!D9</f>
        <v>#REF!</v>
      </c>
      <c r="F15" s="380" t="e">
        <f>'마산리집계표(당초)'!E9</f>
        <v>#REF!</v>
      </c>
      <c r="G15" s="378" t="s">
        <v>5</v>
      </c>
      <c r="H15" s="379" t="e">
        <f>'마산리집계표(당초)'!G9</f>
        <v>#REF!</v>
      </c>
      <c r="I15" s="377" t="e">
        <f>'마산리집계표(당초)'!H9</f>
        <v>#REF!</v>
      </c>
      <c r="J15" s="381" t="s">
        <v>5</v>
      </c>
      <c r="K15" s="379" t="e">
        <f>'마산리집계표(당초)'!J9</f>
        <v>#REF!</v>
      </c>
      <c r="L15" s="377" t="e">
        <f>'마산리집계표(당초)'!K9</f>
        <v>#REF!</v>
      </c>
      <c r="M15" s="381" t="s">
        <v>5</v>
      </c>
      <c r="N15" s="379" t="e">
        <f>'마산리집계표(당초)'!M9</f>
        <v>#REF!</v>
      </c>
      <c r="O15" s="424"/>
      <c r="P15" s="382"/>
      <c r="Q15" s="366"/>
      <c r="R15" s="366"/>
      <c r="S15" s="366"/>
      <c r="T15" s="366"/>
      <c r="U15" s="366"/>
      <c r="V15" s="387"/>
      <c r="W15" s="366"/>
    </row>
    <row r="16" spans="1:28" s="354" customFormat="1" ht="35.1" customHeight="1">
      <c r="A16" s="446"/>
      <c r="B16" s="383" t="s">
        <v>346</v>
      </c>
      <c r="C16" s="384" t="e">
        <f>'마산리집계표 (변경)'!B9</f>
        <v>#REF!</v>
      </c>
      <c r="D16" s="388" t="s">
        <v>5</v>
      </c>
      <c r="E16" s="385" t="e">
        <f>'마산리집계표 (변경)'!D9</f>
        <v>#REF!</v>
      </c>
      <c r="F16" s="386" t="e">
        <f>'마산리집계표 (변경)'!E9</f>
        <v>#REF!</v>
      </c>
      <c r="G16" s="388" t="s">
        <v>5</v>
      </c>
      <c r="H16" s="385" t="e">
        <f>'마산리집계표 (변경)'!G9</f>
        <v>#REF!</v>
      </c>
      <c r="I16" s="384" t="e">
        <f>'마산리집계표 (변경)'!H9</f>
        <v>#REF!</v>
      </c>
      <c r="J16" s="371" t="s">
        <v>5</v>
      </c>
      <c r="K16" s="385" t="e">
        <f>'마산리집계표 (변경)'!J9</f>
        <v>#REF!</v>
      </c>
      <c r="L16" s="384" t="e">
        <f>'마산리집계표 (변경)'!K9</f>
        <v>#REF!</v>
      </c>
      <c r="M16" s="371" t="s">
        <v>5</v>
      </c>
      <c r="N16" s="385" t="e">
        <f>'마산리집계표 (변경)'!M9</f>
        <v>#REF!</v>
      </c>
      <c r="O16" s="425"/>
      <c r="P16" s="387"/>
      <c r="Q16" s="353"/>
      <c r="R16" s="353"/>
      <c r="S16" s="353"/>
      <c r="T16" s="353"/>
      <c r="U16" s="353"/>
      <c r="V16" s="382"/>
      <c r="W16" s="353"/>
    </row>
    <row r="17" spans="1:23" s="368" customFormat="1" ht="35.1" customHeight="1">
      <c r="A17" s="461" t="s">
        <v>357</v>
      </c>
      <c r="B17" s="376" t="s">
        <v>345</v>
      </c>
      <c r="C17" s="377" t="e">
        <f>'마산리집계표(당초)'!B10</f>
        <v>#REF!</v>
      </c>
      <c r="D17" s="378" t="s">
        <v>5</v>
      </c>
      <c r="E17" s="379" t="e">
        <f>'마산리집계표(당초)'!D10</f>
        <v>#REF!</v>
      </c>
      <c r="F17" s="380" t="e">
        <f>'마산리집계표(당초)'!E10</f>
        <v>#REF!</v>
      </c>
      <c r="G17" s="381" t="s">
        <v>5</v>
      </c>
      <c r="H17" s="379" t="e">
        <f>'마산리집계표(당초)'!G10</f>
        <v>#REF!</v>
      </c>
      <c r="I17" s="377" t="e">
        <f>'마산리집계표(당초)'!H10</f>
        <v>#REF!</v>
      </c>
      <c r="J17" s="381" t="s">
        <v>5</v>
      </c>
      <c r="K17" s="379" t="e">
        <f>'마산리집계표(당초)'!J10</f>
        <v>#REF!</v>
      </c>
      <c r="L17" s="377" t="e">
        <f>'마산리집계표(당초)'!K10</f>
        <v>#REF!</v>
      </c>
      <c r="M17" s="381" t="s">
        <v>5</v>
      </c>
      <c r="N17" s="379" t="e">
        <f>'마산리집계표(당초)'!M10</f>
        <v>#REF!</v>
      </c>
      <c r="O17" s="424"/>
      <c r="P17" s="382"/>
      <c r="Q17" s="366"/>
      <c r="R17" s="366"/>
      <c r="S17" s="366"/>
      <c r="T17" s="366"/>
      <c r="U17" s="366"/>
      <c r="V17" s="387"/>
      <c r="W17" s="389"/>
    </row>
    <row r="18" spans="1:23" s="354" customFormat="1" ht="35.1" customHeight="1">
      <c r="A18" s="446"/>
      <c r="B18" s="383" t="s">
        <v>346</v>
      </c>
      <c r="C18" s="384" t="e">
        <f>'마산리집계표 (변경)'!B10</f>
        <v>#REF!</v>
      </c>
      <c r="D18" s="388" t="s">
        <v>5</v>
      </c>
      <c r="E18" s="385" t="e">
        <f>'마산리집계표 (변경)'!D10</f>
        <v>#REF!</v>
      </c>
      <c r="F18" s="386" t="e">
        <f>'마산리집계표 (변경)'!E10</f>
        <v>#REF!</v>
      </c>
      <c r="G18" s="371" t="s">
        <v>5</v>
      </c>
      <c r="H18" s="385" t="e">
        <f>'마산리집계표 (변경)'!G10</f>
        <v>#REF!</v>
      </c>
      <c r="I18" s="384" t="e">
        <f>'마산리집계표 (변경)'!H10</f>
        <v>#REF!</v>
      </c>
      <c r="J18" s="371" t="s">
        <v>5</v>
      </c>
      <c r="K18" s="385" t="e">
        <f>'마산리집계표 (변경)'!J10</f>
        <v>#REF!</v>
      </c>
      <c r="L18" s="384" t="e">
        <f>'마산리집계표 (변경)'!K10</f>
        <v>#REF!</v>
      </c>
      <c r="M18" s="371" t="s">
        <v>5</v>
      </c>
      <c r="N18" s="385" t="e">
        <f>'마산리집계표 (변경)'!M10</f>
        <v>#REF!</v>
      </c>
      <c r="O18" s="425"/>
      <c r="P18" s="387"/>
      <c r="Q18" s="353"/>
      <c r="R18" s="353"/>
      <c r="S18" s="353"/>
      <c r="T18" s="353"/>
      <c r="U18" s="353"/>
      <c r="V18" s="382"/>
      <c r="W18" s="390"/>
    </row>
    <row r="19" spans="1:23" s="368" customFormat="1" ht="35.1" customHeight="1">
      <c r="A19" s="461" t="s">
        <v>352</v>
      </c>
      <c r="B19" s="376" t="s">
        <v>345</v>
      </c>
      <c r="C19" s="377"/>
      <c r="D19" s="378" t="s">
        <v>5</v>
      </c>
      <c r="E19" s="379"/>
      <c r="F19" s="380"/>
      <c r="G19" s="381" t="s">
        <v>5</v>
      </c>
      <c r="H19" s="379"/>
      <c r="I19" s="377"/>
      <c r="J19" s="381" t="s">
        <v>5</v>
      </c>
      <c r="K19" s="379"/>
      <c r="L19" s="377"/>
      <c r="M19" s="381" t="s">
        <v>5</v>
      </c>
      <c r="N19" s="379"/>
      <c r="O19" s="424"/>
      <c r="P19" s="382"/>
      <c r="Q19" s="366"/>
      <c r="R19" s="366"/>
      <c r="S19" s="366"/>
      <c r="T19" s="366"/>
      <c r="U19" s="366"/>
      <c r="V19" s="387"/>
      <c r="W19" s="366"/>
    </row>
    <row r="20" spans="1:23" s="354" customFormat="1" ht="35.1" customHeight="1">
      <c r="A20" s="446"/>
      <c r="B20" s="383" t="s">
        <v>346</v>
      </c>
      <c r="C20" s="391"/>
      <c r="D20" s="392" t="s">
        <v>5</v>
      </c>
      <c r="E20" s="393"/>
      <c r="F20" s="394"/>
      <c r="G20" s="395" t="s">
        <v>5</v>
      </c>
      <c r="H20" s="393"/>
      <c r="I20" s="391"/>
      <c r="J20" s="395" t="s">
        <v>5</v>
      </c>
      <c r="K20" s="393"/>
      <c r="L20" s="391"/>
      <c r="M20" s="395" t="s">
        <v>5</v>
      </c>
      <c r="N20" s="393"/>
      <c r="O20" s="426"/>
      <c r="P20" s="396"/>
      <c r="Q20" s="353"/>
      <c r="R20" s="353"/>
      <c r="S20" s="353"/>
      <c r="T20" s="353"/>
      <c r="U20" s="353"/>
      <c r="V20" s="382"/>
      <c r="W20" s="353"/>
    </row>
    <row r="21" spans="1:23" s="368" customFormat="1" ht="35.1" customHeight="1">
      <c r="A21" s="461" t="s">
        <v>353</v>
      </c>
      <c r="B21" s="376" t="s">
        <v>345</v>
      </c>
      <c r="C21" s="377"/>
      <c r="D21" s="397"/>
      <c r="E21" s="379"/>
      <c r="F21" s="398"/>
      <c r="G21" s="399" t="s">
        <v>5</v>
      </c>
      <c r="H21" s="400"/>
      <c r="I21" s="414"/>
      <c r="J21" s="399" t="s">
        <v>5</v>
      </c>
      <c r="K21" s="400"/>
      <c r="L21" s="414"/>
      <c r="M21" s="399" t="s">
        <v>5</v>
      </c>
      <c r="N21" s="400"/>
      <c r="O21" s="427"/>
      <c r="P21" s="401"/>
      <c r="Q21" s="366"/>
      <c r="R21" s="366"/>
      <c r="S21" s="366"/>
      <c r="T21" s="366"/>
      <c r="U21" s="366"/>
      <c r="V21" s="396"/>
      <c r="W21" s="366"/>
    </row>
    <row r="22" spans="1:23" s="354" customFormat="1" ht="35.1" customHeight="1">
      <c r="A22" s="487"/>
      <c r="B22" s="411" t="s">
        <v>346</v>
      </c>
      <c r="C22" s="391"/>
      <c r="D22" s="392" t="s">
        <v>5</v>
      </c>
      <c r="E22" s="393"/>
      <c r="F22" s="394"/>
      <c r="G22" s="395" t="s">
        <v>5</v>
      </c>
      <c r="H22" s="393"/>
      <c r="I22" s="391"/>
      <c r="J22" s="392" t="s">
        <v>5</v>
      </c>
      <c r="K22" s="393"/>
      <c r="L22" s="391"/>
      <c r="M22" s="392" t="s">
        <v>5</v>
      </c>
      <c r="N22" s="393"/>
      <c r="O22" s="426"/>
      <c r="P22" s="396"/>
      <c r="Q22" s="353"/>
      <c r="R22" s="353"/>
      <c r="S22" s="353"/>
      <c r="T22" s="353"/>
      <c r="U22" s="353"/>
      <c r="V22" s="401"/>
      <c r="W22" s="353"/>
    </row>
    <row r="23" spans="1:23" s="352" customFormat="1" ht="35.1" customHeight="1">
      <c r="A23" s="461" t="s">
        <v>354</v>
      </c>
      <c r="B23" s="376" t="s">
        <v>345</v>
      </c>
      <c r="C23" s="377" t="e">
        <f>'마산리집계표(당초)'!B18</f>
        <v>#REF!</v>
      </c>
      <c r="D23" s="397"/>
      <c r="E23" s="379" t="e">
        <f>'마산리집계표(당초)'!D18</f>
        <v>#REF!</v>
      </c>
      <c r="F23" s="398"/>
      <c r="G23" s="399" t="s">
        <v>5</v>
      </c>
      <c r="H23" s="400"/>
      <c r="I23" s="414" t="e">
        <f>'마산리집계표(당초)'!H18</f>
        <v>#REF!</v>
      </c>
      <c r="J23" s="399" t="s">
        <v>5</v>
      </c>
      <c r="K23" s="400" t="e">
        <f>'마산리집계표(당초)'!J18</f>
        <v>#REF!</v>
      </c>
      <c r="L23" s="414"/>
      <c r="M23" s="399" t="s">
        <v>5</v>
      </c>
      <c r="N23" s="400"/>
      <c r="O23" s="427"/>
      <c r="P23" s="401"/>
      <c r="Q23" s="410"/>
      <c r="R23" s="410"/>
      <c r="S23" s="410"/>
      <c r="T23" s="410"/>
      <c r="U23" s="410"/>
      <c r="V23" s="396"/>
    </row>
    <row r="24" spans="1:23" s="352" customFormat="1" ht="35.1" customHeight="1" thickBot="1">
      <c r="A24" s="462"/>
      <c r="B24" s="402" t="s">
        <v>346</v>
      </c>
      <c r="C24" s="403" t="e">
        <f>'마산리집계표 (변경)'!B18</f>
        <v>#REF!</v>
      </c>
      <c r="D24" s="404" t="s">
        <v>5</v>
      </c>
      <c r="E24" s="405" t="e">
        <f>'마산리집계표 (변경)'!D18</f>
        <v>#REF!</v>
      </c>
      <c r="F24" s="406"/>
      <c r="G24" s="407" t="s">
        <v>5</v>
      </c>
      <c r="H24" s="405"/>
      <c r="I24" s="403" t="e">
        <f>'마산리집계표 (변경)'!H18</f>
        <v>#REF!</v>
      </c>
      <c r="J24" s="404" t="s">
        <v>5</v>
      </c>
      <c r="K24" s="405" t="e">
        <f>'마산리집계표 (변경)'!J18</f>
        <v>#REF!</v>
      </c>
      <c r="L24" s="403"/>
      <c r="M24" s="404" t="s">
        <v>5</v>
      </c>
      <c r="N24" s="405"/>
      <c r="O24" s="428"/>
      <c r="P24" s="408"/>
      <c r="Q24" s="410"/>
      <c r="R24" s="410"/>
      <c r="S24" s="410"/>
      <c r="T24" s="410"/>
      <c r="U24" s="410"/>
      <c r="V24" s="401"/>
    </row>
    <row r="25" spans="1:23" s="354" customFormat="1" ht="27.95" customHeight="1" thickBot="1">
      <c r="A25" s="409"/>
      <c r="B25" s="409"/>
      <c r="C25" s="410"/>
      <c r="D25" s="410"/>
      <c r="E25" s="410"/>
      <c r="F25" s="410"/>
      <c r="G25" s="410"/>
      <c r="H25" s="410"/>
      <c r="I25" s="410"/>
      <c r="J25" s="410"/>
      <c r="K25" s="410"/>
      <c r="L25" s="410"/>
      <c r="M25" s="410"/>
      <c r="N25" s="410"/>
      <c r="O25" s="410"/>
      <c r="P25" s="410"/>
      <c r="Q25" s="410"/>
      <c r="R25" s="410"/>
      <c r="S25" s="410"/>
      <c r="T25" s="410"/>
      <c r="U25" s="410"/>
      <c r="V25" s="408"/>
      <c r="W25" s="353"/>
    </row>
    <row r="26" spans="1:23" s="354" customFormat="1" ht="27.95" customHeight="1">
      <c r="A26" s="409"/>
      <c r="B26" s="409"/>
      <c r="C26" s="410"/>
      <c r="D26" s="410"/>
      <c r="E26" s="410"/>
      <c r="F26" s="410" t="s">
        <v>351</v>
      </c>
      <c r="G26" s="410"/>
      <c r="H26" s="410"/>
      <c r="I26" s="410"/>
      <c r="J26" s="410"/>
      <c r="K26" s="410"/>
      <c r="L26" s="410"/>
      <c r="M26" s="410"/>
      <c r="N26" s="410"/>
      <c r="O26" s="410"/>
      <c r="P26" s="410"/>
      <c r="Q26" s="410"/>
      <c r="R26" s="410"/>
      <c r="S26" s="410"/>
      <c r="T26" s="410"/>
      <c r="U26" s="410"/>
      <c r="V26" s="410"/>
      <c r="W26" s="353"/>
    </row>
    <row r="27" spans="1:23" s="354" customFormat="1" ht="23.1" customHeight="1">
      <c r="A27" s="409"/>
      <c r="B27" s="409"/>
      <c r="C27" s="410"/>
      <c r="D27" s="410"/>
      <c r="E27" s="410"/>
      <c r="F27" s="410"/>
      <c r="G27" s="410"/>
      <c r="H27" s="410"/>
      <c r="I27" s="410"/>
      <c r="J27" s="410"/>
      <c r="K27" s="410"/>
      <c r="L27" s="410"/>
      <c r="M27" s="410"/>
      <c r="N27" s="410"/>
      <c r="O27" s="410"/>
      <c r="P27" s="410"/>
      <c r="Q27" s="410"/>
      <c r="R27" s="410"/>
      <c r="S27" s="410"/>
      <c r="T27" s="410"/>
      <c r="U27" s="410"/>
      <c r="V27" s="410"/>
      <c r="W27" s="353"/>
    </row>
    <row r="28" spans="1:23" s="354" customFormat="1" ht="23.1" customHeight="1">
      <c r="A28" s="409"/>
      <c r="B28" s="409"/>
      <c r="C28" s="410"/>
      <c r="D28" s="410"/>
      <c r="E28" s="410"/>
      <c r="F28" s="410"/>
      <c r="G28" s="410"/>
      <c r="H28" s="410"/>
      <c r="I28" s="410"/>
      <c r="J28" s="410"/>
      <c r="K28" s="410"/>
      <c r="L28" s="410"/>
      <c r="M28" s="410"/>
      <c r="N28" s="410"/>
      <c r="O28" s="410"/>
      <c r="P28" s="410"/>
      <c r="Q28" s="410"/>
      <c r="R28" s="410"/>
      <c r="S28" s="410"/>
      <c r="T28" s="410"/>
      <c r="U28" s="410"/>
      <c r="V28" s="410"/>
      <c r="W28" s="353"/>
    </row>
    <row r="29" spans="1:23" s="354" customFormat="1" ht="23.1" customHeight="1">
      <c r="A29" s="409"/>
      <c r="B29" s="409"/>
      <c r="C29" s="410"/>
      <c r="D29" s="410"/>
      <c r="E29" s="410"/>
      <c r="F29" s="410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  <c r="R29" s="410"/>
      <c r="S29" s="410"/>
      <c r="T29" s="410"/>
      <c r="U29" s="410"/>
      <c r="V29" s="410"/>
      <c r="W29" s="353"/>
    </row>
    <row r="30" spans="1:23" s="354" customFormat="1" ht="23.1" customHeight="1">
      <c r="A30" s="409"/>
      <c r="B30" s="409"/>
      <c r="C30" s="410"/>
      <c r="D30" s="410"/>
      <c r="E30" s="410"/>
      <c r="F30" s="410"/>
      <c r="G30" s="410"/>
      <c r="H30" s="410"/>
      <c r="I30" s="410"/>
      <c r="J30" s="410"/>
      <c r="K30" s="410"/>
      <c r="L30" s="410"/>
      <c r="M30" s="410"/>
      <c r="N30" s="410"/>
      <c r="O30" s="410"/>
      <c r="P30" s="410"/>
      <c r="Q30" s="410"/>
      <c r="R30" s="410"/>
      <c r="S30" s="410"/>
      <c r="T30" s="410"/>
      <c r="U30" s="410"/>
      <c r="V30" s="410"/>
      <c r="W30" s="353"/>
    </row>
    <row r="31" spans="1:23" s="354" customFormat="1" ht="23.1" customHeight="1">
      <c r="A31" s="409"/>
      <c r="B31" s="409"/>
      <c r="C31" s="410"/>
      <c r="D31" s="410"/>
      <c r="E31" s="410"/>
      <c r="F31" s="410"/>
      <c r="G31" s="410"/>
      <c r="H31" s="410"/>
      <c r="I31" s="410"/>
      <c r="J31" s="410"/>
      <c r="K31" s="410"/>
      <c r="L31" s="410"/>
      <c r="M31" s="410"/>
      <c r="N31" s="410"/>
      <c r="O31" s="410"/>
      <c r="P31" s="410"/>
      <c r="Q31" s="410"/>
      <c r="R31" s="410"/>
      <c r="S31" s="410"/>
      <c r="T31" s="410"/>
      <c r="U31" s="410"/>
      <c r="V31" s="410"/>
      <c r="W31" s="353"/>
    </row>
    <row r="32" spans="1:23" s="354" customFormat="1" ht="23.1" customHeight="1">
      <c r="A32" s="409"/>
      <c r="B32" s="409"/>
      <c r="C32" s="410"/>
      <c r="D32" s="410"/>
      <c r="E32" s="410"/>
      <c r="F32" s="410"/>
      <c r="G32" s="410"/>
      <c r="H32" s="410"/>
      <c r="I32" s="410"/>
      <c r="J32" s="410"/>
      <c r="K32" s="410"/>
      <c r="L32" s="410"/>
      <c r="M32" s="410"/>
      <c r="N32" s="410"/>
      <c r="O32" s="410"/>
      <c r="P32" s="410"/>
      <c r="Q32" s="410"/>
      <c r="R32" s="410"/>
      <c r="S32" s="410"/>
      <c r="T32" s="410"/>
      <c r="U32" s="410"/>
      <c r="V32" s="410"/>
      <c r="W32" s="353"/>
    </row>
    <row r="33" spans="1:23" s="354" customFormat="1" ht="23.1" customHeight="1">
      <c r="A33" s="409"/>
      <c r="B33" s="409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0"/>
      <c r="T33" s="410"/>
      <c r="U33" s="410"/>
      <c r="V33" s="410"/>
      <c r="W33" s="353"/>
    </row>
    <row r="34" spans="1:23" s="354" customFormat="1" ht="23.1" customHeight="1">
      <c r="A34" s="409"/>
      <c r="B34" s="409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0"/>
      <c r="T34" s="410"/>
      <c r="U34" s="410"/>
      <c r="V34" s="410"/>
      <c r="W34" s="353"/>
    </row>
    <row r="35" spans="1:23" s="354" customFormat="1" ht="23.1" customHeight="1">
      <c r="A35" s="409"/>
      <c r="B35" s="409"/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0"/>
      <c r="N35" s="410"/>
      <c r="O35" s="410"/>
      <c r="P35" s="410"/>
      <c r="Q35" s="410"/>
      <c r="R35" s="410"/>
      <c r="S35" s="410"/>
      <c r="T35" s="410"/>
      <c r="U35" s="410"/>
      <c r="V35" s="410"/>
      <c r="W35" s="353"/>
    </row>
    <row r="36" spans="1:23" s="354" customFormat="1" ht="23.1" customHeight="1">
      <c r="A36" s="409"/>
      <c r="B36" s="409"/>
      <c r="C36" s="410"/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0"/>
      <c r="T36" s="410"/>
      <c r="U36" s="410"/>
      <c r="V36" s="410"/>
      <c r="W36" s="353"/>
    </row>
    <row r="37" spans="1:23" s="354" customFormat="1" ht="23.1" customHeight="1">
      <c r="A37" s="409"/>
      <c r="B37" s="409"/>
      <c r="C37" s="410"/>
      <c r="D37" s="410"/>
      <c r="E37" s="410"/>
      <c r="F37" s="410"/>
      <c r="G37" s="410"/>
      <c r="H37" s="410"/>
      <c r="I37" s="410"/>
      <c r="J37" s="410"/>
      <c r="K37" s="410"/>
      <c r="L37" s="410"/>
      <c r="M37" s="410"/>
      <c r="N37" s="410"/>
      <c r="O37" s="410"/>
      <c r="P37" s="410"/>
      <c r="Q37" s="410"/>
      <c r="R37" s="410"/>
      <c r="S37" s="410"/>
      <c r="T37" s="410"/>
      <c r="U37" s="410"/>
      <c r="V37" s="410"/>
      <c r="W37" s="353"/>
    </row>
    <row r="38" spans="1:23" s="354" customFormat="1" ht="23.1" customHeight="1">
      <c r="A38" s="409"/>
      <c r="B38" s="409"/>
      <c r="C38" s="410"/>
      <c r="D38" s="410"/>
      <c r="E38" s="410"/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0"/>
      <c r="T38" s="410"/>
      <c r="U38" s="410"/>
      <c r="V38" s="410"/>
      <c r="W38" s="353"/>
    </row>
    <row r="39" spans="1:23" s="354" customFormat="1" ht="23.1" customHeight="1">
      <c r="A39" s="409"/>
      <c r="B39" s="409"/>
      <c r="C39" s="410"/>
      <c r="D39" s="410"/>
      <c r="E39" s="410"/>
      <c r="F39" s="410"/>
      <c r="G39" s="410"/>
      <c r="H39" s="410"/>
      <c r="I39" s="410"/>
      <c r="J39" s="410"/>
      <c r="K39" s="410"/>
      <c r="L39" s="410"/>
      <c r="M39" s="410"/>
      <c r="N39" s="410"/>
      <c r="O39" s="410"/>
      <c r="P39" s="410"/>
      <c r="Q39" s="410"/>
      <c r="R39" s="410"/>
      <c r="S39" s="410"/>
      <c r="T39" s="410"/>
      <c r="U39" s="410"/>
      <c r="V39" s="410"/>
      <c r="W39" s="353"/>
    </row>
    <row r="40" spans="1:23" s="354" customFormat="1" ht="23.1" customHeight="1">
      <c r="A40" s="409"/>
      <c r="B40" s="409"/>
      <c r="C40" s="410"/>
      <c r="D40" s="410"/>
      <c r="E40" s="410"/>
      <c r="F40" s="410"/>
      <c r="G40" s="410"/>
      <c r="H40" s="410"/>
      <c r="I40" s="410"/>
      <c r="J40" s="410"/>
      <c r="K40" s="410"/>
      <c r="L40" s="410"/>
      <c r="M40" s="410"/>
      <c r="N40" s="410"/>
      <c r="O40" s="410"/>
      <c r="P40" s="410"/>
      <c r="Q40" s="410"/>
      <c r="R40" s="410"/>
      <c r="S40" s="410"/>
      <c r="T40" s="410"/>
      <c r="U40" s="410"/>
      <c r="V40" s="410"/>
      <c r="W40" s="353"/>
    </row>
    <row r="41" spans="1:23" s="354" customFormat="1" ht="23.1" customHeight="1">
      <c r="A41" s="409"/>
      <c r="B41" s="409"/>
      <c r="C41" s="410"/>
      <c r="D41" s="410"/>
      <c r="E41" s="410"/>
      <c r="F41" s="410"/>
      <c r="G41" s="410"/>
      <c r="H41" s="410"/>
      <c r="I41" s="410"/>
      <c r="J41" s="410"/>
      <c r="K41" s="410"/>
      <c r="L41" s="410"/>
      <c r="M41" s="410"/>
      <c r="N41" s="410"/>
      <c r="O41" s="410"/>
      <c r="P41" s="410"/>
      <c r="Q41" s="410"/>
      <c r="R41" s="410"/>
      <c r="S41" s="410"/>
      <c r="T41" s="410"/>
      <c r="U41" s="410"/>
      <c r="V41" s="410"/>
      <c r="W41" s="353"/>
    </row>
    <row r="42" spans="1:23" s="354" customFormat="1" ht="23.1" customHeight="1">
      <c r="A42" s="409"/>
      <c r="B42" s="409"/>
      <c r="C42" s="410"/>
      <c r="D42" s="410"/>
      <c r="E42" s="410"/>
      <c r="F42" s="410"/>
      <c r="G42" s="410"/>
      <c r="H42" s="410"/>
      <c r="I42" s="410"/>
      <c r="J42" s="410"/>
      <c r="K42" s="410"/>
      <c r="L42" s="410"/>
      <c r="M42" s="410"/>
      <c r="N42" s="410"/>
      <c r="O42" s="410"/>
      <c r="P42" s="410"/>
      <c r="Q42" s="410"/>
      <c r="R42" s="410"/>
      <c r="S42" s="410"/>
      <c r="T42" s="410"/>
      <c r="U42" s="410"/>
      <c r="V42" s="410"/>
      <c r="W42" s="353"/>
    </row>
    <row r="43" spans="1:23" s="354" customFormat="1" ht="23.1" customHeight="1">
      <c r="A43" s="409"/>
      <c r="B43" s="409"/>
      <c r="C43" s="410"/>
      <c r="D43" s="410"/>
      <c r="E43" s="410"/>
      <c r="F43" s="410"/>
      <c r="G43" s="410"/>
      <c r="H43" s="410"/>
      <c r="I43" s="410"/>
      <c r="J43" s="410"/>
      <c r="K43" s="410"/>
      <c r="L43" s="410"/>
      <c r="M43" s="410"/>
      <c r="N43" s="410"/>
      <c r="O43" s="410"/>
      <c r="P43" s="410"/>
      <c r="Q43" s="410"/>
      <c r="R43" s="410"/>
      <c r="S43" s="410"/>
      <c r="T43" s="410"/>
      <c r="U43" s="410"/>
      <c r="V43" s="410"/>
      <c r="W43" s="353"/>
    </row>
    <row r="44" spans="1:23" s="354" customFormat="1" ht="23.1" customHeight="1">
      <c r="A44" s="409"/>
      <c r="B44" s="409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0"/>
      <c r="V44" s="410"/>
      <c r="W44" s="353"/>
    </row>
    <row r="45" spans="1:23" s="354" customFormat="1" ht="23.1" customHeight="1">
      <c r="A45" s="409"/>
      <c r="B45" s="409"/>
      <c r="C45" s="410"/>
      <c r="D45" s="410"/>
      <c r="E45" s="410"/>
      <c r="F45" s="410"/>
      <c r="G45" s="410"/>
      <c r="H45" s="410"/>
      <c r="I45" s="410"/>
      <c r="J45" s="410"/>
      <c r="K45" s="410"/>
      <c r="L45" s="410"/>
      <c r="M45" s="410"/>
      <c r="N45" s="410"/>
      <c r="O45" s="410"/>
      <c r="P45" s="410"/>
      <c r="Q45" s="410"/>
      <c r="R45" s="410"/>
      <c r="S45" s="410"/>
      <c r="T45" s="410"/>
      <c r="U45" s="410"/>
      <c r="V45" s="410"/>
      <c r="W45" s="353"/>
    </row>
    <row r="46" spans="1:23" s="354" customFormat="1" ht="23.1" customHeight="1">
      <c r="A46" s="409"/>
      <c r="B46" s="409"/>
      <c r="C46" s="410"/>
      <c r="D46" s="410"/>
      <c r="E46" s="410"/>
      <c r="F46" s="410"/>
      <c r="G46" s="410"/>
      <c r="H46" s="410"/>
      <c r="I46" s="410"/>
      <c r="J46" s="410"/>
      <c r="K46" s="410"/>
      <c r="L46" s="410"/>
      <c r="M46" s="410"/>
      <c r="N46" s="410"/>
      <c r="O46" s="410"/>
      <c r="P46" s="410"/>
      <c r="Q46" s="410"/>
      <c r="R46" s="410"/>
      <c r="S46" s="410"/>
      <c r="T46" s="410"/>
      <c r="U46" s="410"/>
      <c r="V46" s="410"/>
      <c r="W46" s="353"/>
    </row>
    <row r="47" spans="1:23" s="354" customFormat="1" ht="23.1" customHeight="1">
      <c r="A47" s="409"/>
      <c r="B47" s="409"/>
      <c r="C47" s="410"/>
      <c r="D47" s="410"/>
      <c r="E47" s="410"/>
      <c r="F47" s="410"/>
      <c r="G47" s="410"/>
      <c r="H47" s="410"/>
      <c r="I47" s="410"/>
      <c r="J47" s="410"/>
      <c r="K47" s="410"/>
      <c r="L47" s="410"/>
      <c r="M47" s="410"/>
      <c r="N47" s="410"/>
      <c r="O47" s="410"/>
      <c r="P47" s="410"/>
      <c r="Q47" s="410"/>
      <c r="R47" s="410"/>
      <c r="S47" s="410"/>
      <c r="T47" s="410"/>
      <c r="U47" s="410"/>
      <c r="V47" s="410"/>
      <c r="W47" s="353"/>
    </row>
    <row r="48" spans="1:23" s="354" customFormat="1" ht="23.1" customHeight="1">
      <c r="A48" s="409"/>
      <c r="B48" s="409"/>
      <c r="C48" s="410"/>
      <c r="D48" s="410"/>
      <c r="E48" s="410"/>
      <c r="F48" s="410"/>
      <c r="G48" s="410"/>
      <c r="H48" s="410"/>
      <c r="I48" s="410"/>
      <c r="J48" s="410"/>
      <c r="K48" s="410"/>
      <c r="L48" s="410"/>
      <c r="M48" s="410"/>
      <c r="N48" s="410"/>
      <c r="O48" s="410"/>
      <c r="P48" s="410"/>
      <c r="Q48" s="410"/>
      <c r="R48" s="410"/>
      <c r="S48" s="410"/>
      <c r="T48" s="410"/>
      <c r="U48" s="410"/>
      <c r="V48" s="410"/>
      <c r="W48" s="353"/>
    </row>
    <row r="49" spans="1:23" s="354" customFormat="1" ht="23.1" customHeight="1">
      <c r="A49" s="409"/>
      <c r="B49" s="409"/>
      <c r="C49" s="410"/>
      <c r="D49" s="410"/>
      <c r="E49" s="410"/>
      <c r="F49" s="410"/>
      <c r="G49" s="410"/>
      <c r="H49" s="410"/>
      <c r="I49" s="410"/>
      <c r="J49" s="410"/>
      <c r="K49" s="410"/>
      <c r="L49" s="410"/>
      <c r="M49" s="410"/>
      <c r="N49" s="410"/>
      <c r="O49" s="410"/>
      <c r="P49" s="410"/>
      <c r="Q49" s="410"/>
      <c r="R49" s="410"/>
      <c r="S49" s="410"/>
      <c r="T49" s="410"/>
      <c r="U49" s="410"/>
      <c r="V49" s="410"/>
      <c r="W49" s="353"/>
    </row>
    <row r="50" spans="1:23" s="354" customFormat="1" ht="23.1" customHeight="1">
      <c r="A50" s="409"/>
      <c r="B50" s="409"/>
      <c r="C50" s="410"/>
      <c r="D50" s="410"/>
      <c r="E50" s="410"/>
      <c r="F50" s="410"/>
      <c r="G50" s="410"/>
      <c r="H50" s="410"/>
      <c r="I50" s="410"/>
      <c r="J50" s="410"/>
      <c r="K50" s="410"/>
      <c r="L50" s="410"/>
      <c r="M50" s="410"/>
      <c r="N50" s="410"/>
      <c r="O50" s="410"/>
      <c r="P50" s="410"/>
      <c r="Q50" s="410"/>
      <c r="R50" s="410"/>
      <c r="S50" s="410"/>
      <c r="T50" s="410"/>
      <c r="U50" s="410"/>
      <c r="V50" s="410"/>
      <c r="W50" s="353"/>
    </row>
    <row r="51" spans="1:23" s="354" customFormat="1" ht="23.1" customHeight="1">
      <c r="A51" s="409"/>
      <c r="B51" s="409"/>
      <c r="C51" s="410"/>
      <c r="D51" s="410"/>
      <c r="E51" s="410"/>
      <c r="F51" s="410"/>
      <c r="G51" s="410"/>
      <c r="H51" s="410"/>
      <c r="I51" s="410"/>
      <c r="J51" s="410"/>
      <c r="K51" s="410"/>
      <c r="L51" s="410"/>
      <c r="M51" s="410"/>
      <c r="N51" s="410"/>
      <c r="O51" s="410"/>
      <c r="P51" s="410"/>
      <c r="Q51" s="410"/>
      <c r="R51" s="410"/>
      <c r="S51" s="410"/>
      <c r="T51" s="410"/>
      <c r="U51" s="410"/>
      <c r="V51" s="410"/>
      <c r="W51" s="353"/>
    </row>
    <row r="52" spans="1:23" s="354" customFormat="1" ht="23.1" customHeight="1">
      <c r="A52" s="409"/>
      <c r="B52" s="409"/>
      <c r="C52" s="410"/>
      <c r="D52" s="410"/>
      <c r="E52" s="410"/>
      <c r="F52" s="410"/>
      <c r="G52" s="410"/>
      <c r="H52" s="410"/>
      <c r="I52" s="410"/>
      <c r="J52" s="410"/>
      <c r="K52" s="410"/>
      <c r="L52" s="410"/>
      <c r="M52" s="410"/>
      <c r="N52" s="410"/>
      <c r="O52" s="410"/>
      <c r="P52" s="410"/>
      <c r="Q52" s="410"/>
      <c r="R52" s="410"/>
      <c r="S52" s="410"/>
      <c r="T52" s="410"/>
      <c r="U52" s="410"/>
      <c r="V52" s="410"/>
      <c r="W52" s="353"/>
    </row>
    <row r="53" spans="1:23" s="352" customFormat="1" ht="20.100000000000001" customHeight="1">
      <c r="A53" s="409"/>
      <c r="B53" s="409"/>
      <c r="C53" s="410"/>
      <c r="D53" s="410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410"/>
      <c r="T53" s="410"/>
      <c r="U53" s="410"/>
      <c r="V53" s="410"/>
    </row>
    <row r="54" spans="1:23" s="352" customFormat="1" ht="9.9499999999999993" customHeight="1">
      <c r="A54" s="409"/>
      <c r="B54" s="409"/>
      <c r="C54" s="410"/>
      <c r="D54" s="410"/>
      <c r="E54" s="410"/>
      <c r="F54" s="410"/>
      <c r="G54" s="410"/>
      <c r="H54" s="410"/>
      <c r="I54" s="410"/>
      <c r="J54" s="410"/>
      <c r="K54" s="410"/>
      <c r="L54" s="410"/>
      <c r="M54" s="410"/>
      <c r="N54" s="410"/>
      <c r="O54" s="410"/>
      <c r="P54" s="410"/>
      <c r="Q54" s="410"/>
      <c r="R54" s="410"/>
      <c r="S54" s="410"/>
      <c r="T54" s="410"/>
      <c r="U54" s="410"/>
      <c r="V54" s="410"/>
    </row>
    <row r="55" spans="1:23" s="354" customFormat="1" ht="27.95" customHeight="1">
      <c r="A55" s="409"/>
      <c r="B55" s="409"/>
      <c r="C55" s="410"/>
      <c r="D55" s="410"/>
      <c r="E55" s="410"/>
      <c r="F55" s="410"/>
      <c r="G55" s="410"/>
      <c r="H55" s="410"/>
      <c r="I55" s="410"/>
      <c r="J55" s="410"/>
      <c r="K55" s="410"/>
      <c r="L55" s="410"/>
      <c r="M55" s="410"/>
      <c r="N55" s="410"/>
      <c r="O55" s="410"/>
      <c r="P55" s="410"/>
      <c r="Q55" s="410"/>
      <c r="R55" s="410"/>
      <c r="S55" s="410"/>
      <c r="T55" s="410"/>
      <c r="U55" s="410"/>
      <c r="V55" s="410"/>
      <c r="W55" s="353"/>
    </row>
    <row r="56" spans="1:23" s="354" customFormat="1" ht="27.95" customHeight="1">
      <c r="A56" s="409"/>
      <c r="B56" s="409"/>
      <c r="C56" s="410"/>
      <c r="D56" s="410"/>
      <c r="E56" s="410"/>
      <c r="F56" s="410"/>
      <c r="G56" s="410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353"/>
    </row>
    <row r="57" spans="1:23" s="354" customFormat="1" ht="23.1" customHeight="1">
      <c r="A57" s="409"/>
      <c r="B57" s="409"/>
      <c r="C57" s="410"/>
      <c r="D57" s="410"/>
      <c r="E57" s="410"/>
      <c r="F57" s="410"/>
      <c r="G57" s="410"/>
      <c r="H57" s="410"/>
      <c r="I57" s="410"/>
      <c r="J57" s="410"/>
      <c r="K57" s="410"/>
      <c r="L57" s="410"/>
      <c r="M57" s="410"/>
      <c r="N57" s="410"/>
      <c r="O57" s="410"/>
      <c r="P57" s="410"/>
      <c r="Q57" s="410"/>
      <c r="R57" s="410"/>
      <c r="S57" s="410"/>
      <c r="T57" s="410"/>
      <c r="U57" s="410"/>
      <c r="V57" s="410"/>
      <c r="W57" s="353"/>
    </row>
    <row r="58" spans="1:23" s="354" customFormat="1" ht="23.1" customHeight="1">
      <c r="A58" s="409"/>
      <c r="B58" s="409"/>
      <c r="C58" s="410"/>
      <c r="D58" s="410"/>
      <c r="E58" s="410"/>
      <c r="F58" s="410"/>
      <c r="G58" s="410"/>
      <c r="H58" s="410"/>
      <c r="I58" s="410"/>
      <c r="J58" s="410"/>
      <c r="K58" s="410"/>
      <c r="L58" s="410"/>
      <c r="M58" s="410"/>
      <c r="N58" s="410"/>
      <c r="O58" s="410"/>
      <c r="P58" s="410"/>
      <c r="Q58" s="410"/>
      <c r="R58" s="410"/>
      <c r="S58" s="410"/>
      <c r="T58" s="410"/>
      <c r="U58" s="410"/>
      <c r="V58" s="410"/>
      <c r="W58" s="353"/>
    </row>
    <row r="59" spans="1:23" s="354" customFormat="1" ht="23.1" customHeight="1">
      <c r="A59" s="409"/>
      <c r="B59" s="409"/>
      <c r="C59" s="410"/>
      <c r="D59" s="410"/>
      <c r="E59" s="410"/>
      <c r="F59" s="410"/>
      <c r="G59" s="410"/>
      <c r="H59" s="410"/>
      <c r="I59" s="410"/>
      <c r="J59" s="410"/>
      <c r="K59" s="410"/>
      <c r="L59" s="410"/>
      <c r="M59" s="410"/>
      <c r="N59" s="410"/>
      <c r="O59" s="410"/>
      <c r="P59" s="410"/>
      <c r="Q59" s="410"/>
      <c r="R59" s="410"/>
      <c r="S59" s="410"/>
      <c r="T59" s="410"/>
      <c r="U59" s="410"/>
      <c r="V59" s="410"/>
      <c r="W59" s="353"/>
    </row>
    <row r="60" spans="1:23" s="354" customFormat="1" ht="23.1" customHeight="1">
      <c r="A60" s="409"/>
      <c r="B60" s="409"/>
      <c r="C60" s="410"/>
      <c r="D60" s="410"/>
      <c r="E60" s="410"/>
      <c r="F60" s="410"/>
      <c r="G60" s="410"/>
      <c r="H60" s="410"/>
      <c r="I60" s="410"/>
      <c r="J60" s="410"/>
      <c r="K60" s="410"/>
      <c r="L60" s="410"/>
      <c r="M60" s="410"/>
      <c r="N60" s="410"/>
      <c r="O60" s="410"/>
      <c r="P60" s="410"/>
      <c r="Q60" s="410"/>
      <c r="R60" s="410"/>
      <c r="S60" s="410"/>
      <c r="T60" s="410"/>
      <c r="U60" s="410"/>
      <c r="V60" s="410"/>
      <c r="W60" s="353"/>
    </row>
    <row r="61" spans="1:23" s="354" customFormat="1" ht="23.1" customHeight="1">
      <c r="A61" s="409"/>
      <c r="B61" s="409"/>
      <c r="C61" s="410"/>
      <c r="D61" s="410"/>
      <c r="E61" s="410"/>
      <c r="F61" s="410"/>
      <c r="G61" s="410"/>
      <c r="H61" s="410"/>
      <c r="I61" s="410"/>
      <c r="J61" s="410"/>
      <c r="K61" s="410"/>
      <c r="L61" s="410"/>
      <c r="M61" s="410"/>
      <c r="N61" s="410"/>
      <c r="O61" s="410"/>
      <c r="P61" s="410"/>
      <c r="Q61" s="410"/>
      <c r="R61" s="410"/>
      <c r="S61" s="410"/>
      <c r="T61" s="410"/>
      <c r="U61" s="410"/>
      <c r="V61" s="410"/>
      <c r="W61" s="353"/>
    </row>
    <row r="62" spans="1:23" s="354" customFormat="1" ht="23.1" customHeight="1">
      <c r="A62" s="409"/>
      <c r="B62" s="409"/>
      <c r="C62" s="410"/>
      <c r="D62" s="410"/>
      <c r="E62" s="410"/>
      <c r="F62" s="410"/>
      <c r="G62" s="410"/>
      <c r="H62" s="410"/>
      <c r="I62" s="410"/>
      <c r="J62" s="410"/>
      <c r="K62" s="410"/>
      <c r="L62" s="410"/>
      <c r="M62" s="410"/>
      <c r="N62" s="410"/>
      <c r="O62" s="410"/>
      <c r="P62" s="410"/>
      <c r="Q62" s="410"/>
      <c r="R62" s="410"/>
      <c r="S62" s="410"/>
      <c r="T62" s="410"/>
      <c r="U62" s="410"/>
      <c r="V62" s="410"/>
      <c r="W62" s="353"/>
    </row>
    <row r="63" spans="1:23" s="354" customFormat="1" ht="23.1" customHeight="1">
      <c r="A63" s="409"/>
      <c r="B63" s="409"/>
      <c r="C63" s="410"/>
      <c r="D63" s="410"/>
      <c r="E63" s="410"/>
      <c r="F63" s="410"/>
      <c r="G63" s="410"/>
      <c r="H63" s="410"/>
      <c r="I63" s="410"/>
      <c r="J63" s="410"/>
      <c r="K63" s="410"/>
      <c r="L63" s="410"/>
      <c r="M63" s="410"/>
      <c r="N63" s="410"/>
      <c r="O63" s="410"/>
      <c r="P63" s="410"/>
      <c r="Q63" s="410"/>
      <c r="R63" s="410"/>
      <c r="S63" s="410"/>
      <c r="T63" s="410"/>
      <c r="U63" s="410"/>
      <c r="V63" s="410"/>
      <c r="W63" s="353"/>
    </row>
    <row r="64" spans="1:23" s="354" customFormat="1" ht="23.1" customHeight="1">
      <c r="A64" s="409"/>
      <c r="B64" s="409"/>
      <c r="C64" s="410"/>
      <c r="D64" s="410"/>
      <c r="E64" s="410"/>
      <c r="F64" s="410"/>
      <c r="G64" s="410"/>
      <c r="H64" s="410"/>
      <c r="I64" s="410"/>
      <c r="J64" s="410"/>
      <c r="K64" s="410"/>
      <c r="L64" s="410"/>
      <c r="M64" s="410"/>
      <c r="N64" s="410"/>
      <c r="O64" s="410"/>
      <c r="P64" s="410"/>
      <c r="Q64" s="410"/>
      <c r="R64" s="410"/>
      <c r="S64" s="410"/>
      <c r="T64" s="410"/>
      <c r="U64" s="410"/>
      <c r="V64" s="410"/>
      <c r="W64" s="353"/>
    </row>
    <row r="65" spans="1:23" s="354" customFormat="1" ht="23.1" customHeight="1">
      <c r="A65" s="409"/>
      <c r="B65" s="409"/>
      <c r="C65" s="410"/>
      <c r="D65" s="410"/>
      <c r="E65" s="410"/>
      <c r="F65" s="410"/>
      <c r="G65" s="410"/>
      <c r="H65" s="410"/>
      <c r="I65" s="410"/>
      <c r="J65" s="410"/>
      <c r="K65" s="410"/>
      <c r="L65" s="410"/>
      <c r="M65" s="410"/>
      <c r="N65" s="410"/>
      <c r="O65" s="410"/>
      <c r="P65" s="410"/>
      <c r="Q65" s="410"/>
      <c r="R65" s="410"/>
      <c r="S65" s="410"/>
      <c r="T65" s="410"/>
      <c r="U65" s="410"/>
      <c r="V65" s="410"/>
      <c r="W65" s="353"/>
    </row>
    <row r="66" spans="1:23" s="354" customFormat="1" ht="23.1" customHeight="1">
      <c r="A66" s="409"/>
      <c r="B66" s="409"/>
      <c r="C66" s="410"/>
      <c r="D66" s="410"/>
      <c r="E66" s="410"/>
      <c r="F66" s="410"/>
      <c r="G66" s="410"/>
      <c r="H66" s="410"/>
      <c r="I66" s="410"/>
      <c r="J66" s="410"/>
      <c r="K66" s="410"/>
      <c r="L66" s="410"/>
      <c r="M66" s="410"/>
      <c r="N66" s="410"/>
      <c r="O66" s="410"/>
      <c r="P66" s="410"/>
      <c r="Q66" s="410"/>
      <c r="R66" s="410"/>
      <c r="S66" s="410"/>
      <c r="T66" s="410"/>
      <c r="U66" s="410"/>
      <c r="V66" s="410"/>
      <c r="W66" s="353"/>
    </row>
    <row r="67" spans="1:23" s="354" customFormat="1" ht="23.1" customHeight="1">
      <c r="A67" s="409"/>
      <c r="B67" s="409"/>
      <c r="C67" s="410"/>
      <c r="D67" s="410"/>
      <c r="E67" s="410"/>
      <c r="F67" s="410"/>
      <c r="G67" s="410"/>
      <c r="H67" s="410"/>
      <c r="I67" s="410"/>
      <c r="J67" s="410"/>
      <c r="K67" s="410"/>
      <c r="L67" s="410"/>
      <c r="M67" s="410"/>
      <c r="N67" s="410"/>
      <c r="O67" s="410"/>
      <c r="P67" s="410"/>
      <c r="Q67" s="410"/>
      <c r="R67" s="410"/>
      <c r="S67" s="410"/>
      <c r="T67" s="410"/>
      <c r="U67" s="410"/>
      <c r="V67" s="410"/>
      <c r="W67" s="353"/>
    </row>
    <row r="68" spans="1:23" s="354" customFormat="1" ht="23.1" customHeight="1">
      <c r="A68" s="409"/>
      <c r="B68" s="409"/>
      <c r="C68" s="410"/>
      <c r="D68" s="410"/>
      <c r="E68" s="410"/>
      <c r="F68" s="410"/>
      <c r="G68" s="410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0"/>
      <c r="S68" s="410"/>
      <c r="T68" s="410"/>
      <c r="U68" s="410"/>
      <c r="V68" s="410"/>
      <c r="W68" s="353"/>
    </row>
    <row r="69" spans="1:23" s="354" customFormat="1" ht="23.1" customHeight="1">
      <c r="A69" s="409"/>
      <c r="B69" s="409"/>
      <c r="C69" s="410"/>
      <c r="D69" s="410"/>
      <c r="E69" s="410"/>
      <c r="F69" s="410"/>
      <c r="G69" s="410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0"/>
      <c r="S69" s="410"/>
      <c r="T69" s="410"/>
      <c r="U69" s="410"/>
      <c r="V69" s="410"/>
      <c r="W69" s="353"/>
    </row>
    <row r="70" spans="1:23" s="354" customFormat="1" ht="23.1" customHeight="1">
      <c r="A70" s="409"/>
      <c r="B70" s="409"/>
      <c r="C70" s="410"/>
      <c r="D70" s="410"/>
      <c r="E70" s="410"/>
      <c r="F70" s="410"/>
      <c r="G70" s="410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0"/>
      <c r="S70" s="410"/>
      <c r="T70" s="410"/>
      <c r="U70" s="410"/>
      <c r="V70" s="410"/>
      <c r="W70" s="353"/>
    </row>
    <row r="71" spans="1:23" s="354" customFormat="1" ht="23.1" customHeight="1">
      <c r="A71" s="409"/>
      <c r="B71" s="409"/>
      <c r="C71" s="410"/>
      <c r="D71" s="410"/>
      <c r="E71" s="410"/>
      <c r="F71" s="410"/>
      <c r="G71" s="410"/>
      <c r="H71" s="410"/>
      <c r="I71" s="410"/>
      <c r="J71" s="410"/>
      <c r="K71" s="410"/>
      <c r="L71" s="410"/>
      <c r="M71" s="410"/>
      <c r="N71" s="410"/>
      <c r="O71" s="410"/>
      <c r="P71" s="410"/>
      <c r="Q71" s="410"/>
      <c r="R71" s="410"/>
      <c r="S71" s="410"/>
      <c r="T71" s="410"/>
      <c r="U71" s="410"/>
      <c r="V71" s="410"/>
      <c r="W71" s="353"/>
    </row>
    <row r="72" spans="1:23" s="354" customFormat="1" ht="23.1" customHeight="1">
      <c r="A72" s="409"/>
      <c r="B72" s="409"/>
      <c r="C72" s="410"/>
      <c r="D72" s="410"/>
      <c r="E72" s="410"/>
      <c r="F72" s="410"/>
      <c r="G72" s="410"/>
      <c r="H72" s="410"/>
      <c r="I72" s="410"/>
      <c r="J72" s="410"/>
      <c r="K72" s="410"/>
      <c r="L72" s="410"/>
      <c r="M72" s="410"/>
      <c r="N72" s="410"/>
      <c r="O72" s="410"/>
      <c r="P72" s="410"/>
      <c r="Q72" s="410"/>
      <c r="R72" s="410"/>
      <c r="S72" s="410"/>
      <c r="T72" s="410"/>
      <c r="U72" s="410"/>
      <c r="V72" s="410"/>
      <c r="W72" s="353"/>
    </row>
    <row r="73" spans="1:23" s="354" customFormat="1" ht="23.1" customHeight="1">
      <c r="A73" s="409"/>
      <c r="B73" s="409"/>
      <c r="C73" s="410"/>
      <c r="D73" s="410"/>
      <c r="E73" s="410"/>
      <c r="F73" s="410"/>
      <c r="G73" s="410"/>
      <c r="H73" s="410"/>
      <c r="I73" s="410"/>
      <c r="J73" s="410"/>
      <c r="K73" s="410"/>
      <c r="L73" s="410"/>
      <c r="M73" s="410"/>
      <c r="N73" s="410"/>
      <c r="O73" s="410"/>
      <c r="P73" s="410"/>
      <c r="Q73" s="410"/>
      <c r="R73" s="410"/>
      <c r="S73" s="410"/>
      <c r="T73" s="410"/>
      <c r="U73" s="410"/>
      <c r="V73" s="410"/>
      <c r="W73" s="353"/>
    </row>
    <row r="74" spans="1:23" s="354" customFormat="1" ht="23.1" customHeight="1">
      <c r="A74" s="409"/>
      <c r="B74" s="409"/>
      <c r="C74" s="410"/>
      <c r="D74" s="410"/>
      <c r="E74" s="410"/>
      <c r="F74" s="410"/>
      <c r="G74" s="410"/>
      <c r="H74" s="410"/>
      <c r="I74" s="410"/>
      <c r="J74" s="410"/>
      <c r="K74" s="410"/>
      <c r="L74" s="410"/>
      <c r="M74" s="410"/>
      <c r="N74" s="410"/>
      <c r="O74" s="410"/>
      <c r="P74" s="410"/>
      <c r="Q74" s="410"/>
      <c r="R74" s="410"/>
      <c r="S74" s="410"/>
      <c r="T74" s="410"/>
      <c r="U74" s="410"/>
      <c r="V74" s="410"/>
      <c r="W74" s="353"/>
    </row>
    <row r="75" spans="1:23" s="354" customFormat="1" ht="23.1" customHeight="1">
      <c r="A75" s="409"/>
      <c r="B75" s="409"/>
      <c r="C75" s="410"/>
      <c r="D75" s="410"/>
      <c r="E75" s="410"/>
      <c r="F75" s="410"/>
      <c r="G75" s="410"/>
      <c r="H75" s="410"/>
      <c r="I75" s="410"/>
      <c r="J75" s="410"/>
      <c r="K75" s="410"/>
      <c r="L75" s="410"/>
      <c r="M75" s="410"/>
      <c r="N75" s="410"/>
      <c r="O75" s="410"/>
      <c r="P75" s="410"/>
      <c r="Q75" s="410"/>
      <c r="R75" s="410"/>
      <c r="S75" s="410"/>
      <c r="T75" s="410"/>
      <c r="U75" s="410"/>
      <c r="V75" s="410"/>
      <c r="W75" s="353"/>
    </row>
    <row r="76" spans="1:23" s="354" customFormat="1" ht="23.1" customHeight="1">
      <c r="A76" s="409"/>
      <c r="B76" s="409"/>
      <c r="C76" s="410"/>
      <c r="D76" s="410"/>
      <c r="E76" s="410"/>
      <c r="F76" s="410"/>
      <c r="G76" s="410"/>
      <c r="H76" s="410"/>
      <c r="I76" s="410"/>
      <c r="J76" s="410"/>
      <c r="K76" s="410"/>
      <c r="L76" s="410"/>
      <c r="M76" s="410"/>
      <c r="N76" s="410"/>
      <c r="O76" s="410"/>
      <c r="P76" s="410"/>
      <c r="Q76" s="410"/>
      <c r="R76" s="410"/>
      <c r="S76" s="410"/>
      <c r="T76" s="410"/>
      <c r="U76" s="410"/>
      <c r="V76" s="410"/>
      <c r="W76" s="353"/>
    </row>
    <row r="77" spans="1:23" s="354" customFormat="1" ht="23.1" customHeight="1">
      <c r="A77" s="409"/>
      <c r="B77" s="409"/>
      <c r="C77" s="410"/>
      <c r="D77" s="410"/>
      <c r="E77" s="410"/>
      <c r="F77" s="410"/>
      <c r="G77" s="410"/>
      <c r="H77" s="410"/>
      <c r="I77" s="410"/>
      <c r="J77" s="410"/>
      <c r="K77" s="410"/>
      <c r="L77" s="410"/>
      <c r="M77" s="410"/>
      <c r="N77" s="410"/>
      <c r="O77" s="410"/>
      <c r="P77" s="410"/>
      <c r="Q77" s="410"/>
      <c r="R77" s="410"/>
      <c r="S77" s="410"/>
      <c r="T77" s="410"/>
      <c r="U77" s="410"/>
      <c r="V77" s="410"/>
      <c r="W77" s="353"/>
    </row>
    <row r="78" spans="1:23" s="354" customFormat="1" ht="23.1" customHeight="1">
      <c r="A78" s="409"/>
      <c r="B78" s="409"/>
      <c r="C78" s="410"/>
      <c r="D78" s="410"/>
      <c r="E78" s="410"/>
      <c r="F78" s="410"/>
      <c r="G78" s="410"/>
      <c r="H78" s="410"/>
      <c r="I78" s="410"/>
      <c r="J78" s="410"/>
      <c r="K78" s="410"/>
      <c r="L78" s="410"/>
      <c r="M78" s="410"/>
      <c r="N78" s="410"/>
      <c r="O78" s="410"/>
      <c r="P78" s="410"/>
      <c r="Q78" s="410"/>
      <c r="R78" s="410"/>
      <c r="S78" s="410"/>
      <c r="T78" s="410"/>
      <c r="U78" s="410"/>
      <c r="V78" s="410"/>
      <c r="W78" s="353"/>
    </row>
    <row r="79" spans="1:23" s="354" customFormat="1" ht="23.1" customHeight="1">
      <c r="A79" s="409"/>
      <c r="B79" s="409"/>
      <c r="C79" s="410"/>
      <c r="D79" s="410"/>
      <c r="E79" s="410"/>
      <c r="F79" s="410"/>
      <c r="G79" s="410"/>
      <c r="H79" s="410"/>
      <c r="I79" s="410"/>
      <c r="J79" s="410"/>
      <c r="K79" s="410"/>
      <c r="L79" s="410"/>
      <c r="M79" s="410"/>
      <c r="N79" s="410"/>
      <c r="O79" s="410"/>
      <c r="P79" s="410"/>
      <c r="Q79" s="410"/>
      <c r="R79" s="410"/>
      <c r="S79" s="410"/>
      <c r="T79" s="410"/>
      <c r="U79" s="410"/>
      <c r="V79" s="410"/>
      <c r="W79" s="353"/>
    </row>
    <row r="80" spans="1:23" s="354" customFormat="1" ht="23.1" customHeight="1">
      <c r="A80" s="409"/>
      <c r="B80" s="409"/>
      <c r="C80" s="410"/>
      <c r="D80" s="410"/>
      <c r="E80" s="410"/>
      <c r="F80" s="410"/>
      <c r="G80" s="410"/>
      <c r="H80" s="410"/>
      <c r="I80" s="410"/>
      <c r="J80" s="410"/>
      <c r="K80" s="410"/>
      <c r="L80" s="410"/>
      <c r="M80" s="410"/>
      <c r="N80" s="410"/>
      <c r="O80" s="410"/>
      <c r="P80" s="410"/>
      <c r="Q80" s="410"/>
      <c r="R80" s="410"/>
      <c r="S80" s="410"/>
      <c r="T80" s="410"/>
      <c r="U80" s="410"/>
      <c r="V80" s="410"/>
      <c r="W80" s="353"/>
    </row>
    <row r="81" spans="1:23" s="354" customFormat="1" ht="23.1" customHeight="1">
      <c r="A81" s="409"/>
      <c r="B81" s="409"/>
      <c r="C81" s="410"/>
      <c r="D81" s="410"/>
      <c r="E81" s="410"/>
      <c r="F81" s="410"/>
      <c r="G81" s="410"/>
      <c r="H81" s="410"/>
      <c r="I81" s="410"/>
      <c r="J81" s="410"/>
      <c r="K81" s="410"/>
      <c r="L81" s="410"/>
      <c r="M81" s="410"/>
      <c r="N81" s="410"/>
      <c r="O81" s="410"/>
      <c r="P81" s="410"/>
      <c r="Q81" s="410"/>
      <c r="R81" s="410"/>
      <c r="S81" s="410"/>
      <c r="T81" s="410"/>
      <c r="U81" s="410"/>
      <c r="V81" s="410"/>
      <c r="W81" s="353"/>
    </row>
    <row r="82" spans="1:23" s="354" customFormat="1" ht="23.1" customHeight="1">
      <c r="A82" s="409"/>
      <c r="B82" s="409"/>
      <c r="C82" s="410"/>
      <c r="D82" s="410"/>
      <c r="E82" s="410"/>
      <c r="F82" s="410"/>
      <c r="G82" s="410"/>
      <c r="H82" s="410"/>
      <c r="I82" s="410"/>
      <c r="J82" s="410"/>
      <c r="K82" s="410"/>
      <c r="L82" s="410"/>
      <c r="M82" s="410"/>
      <c r="N82" s="410"/>
      <c r="O82" s="410"/>
      <c r="P82" s="410"/>
      <c r="Q82" s="410"/>
      <c r="R82" s="410"/>
      <c r="S82" s="410"/>
      <c r="T82" s="410"/>
      <c r="U82" s="410"/>
      <c r="V82" s="410"/>
      <c r="W82" s="353"/>
    </row>
    <row r="83" spans="1:23" s="352" customFormat="1" ht="20.100000000000001" customHeight="1">
      <c r="A83" s="409"/>
      <c r="B83" s="409"/>
      <c r="C83" s="410"/>
      <c r="D83" s="410"/>
      <c r="E83" s="410"/>
      <c r="F83" s="410"/>
      <c r="G83" s="410"/>
      <c r="H83" s="410"/>
      <c r="I83" s="410"/>
      <c r="J83" s="410"/>
      <c r="K83" s="410"/>
      <c r="L83" s="410"/>
      <c r="M83" s="410"/>
      <c r="N83" s="410"/>
      <c r="O83" s="410"/>
      <c r="P83" s="410"/>
      <c r="Q83" s="410"/>
      <c r="R83" s="410"/>
      <c r="S83" s="410"/>
      <c r="T83" s="410"/>
      <c r="U83" s="410"/>
      <c r="V83" s="410"/>
    </row>
    <row r="84" spans="1:23" s="352" customFormat="1" ht="9.9499999999999993" customHeight="1">
      <c r="A84" s="409"/>
      <c r="B84" s="409"/>
      <c r="C84" s="410"/>
      <c r="D84" s="410"/>
      <c r="E84" s="410"/>
      <c r="F84" s="410"/>
      <c r="G84" s="410"/>
      <c r="H84" s="410"/>
      <c r="I84" s="410"/>
      <c r="J84" s="410"/>
      <c r="K84" s="410"/>
      <c r="L84" s="410"/>
      <c r="M84" s="410"/>
      <c r="N84" s="410"/>
      <c r="O84" s="410"/>
      <c r="P84" s="410"/>
      <c r="Q84" s="410"/>
      <c r="R84" s="410"/>
      <c r="S84" s="410"/>
      <c r="T84" s="410"/>
      <c r="U84" s="410"/>
      <c r="V84" s="410"/>
    </row>
    <row r="85" spans="1:23" s="354" customFormat="1" ht="27.95" customHeight="1">
      <c r="A85" s="409"/>
      <c r="B85" s="409"/>
      <c r="C85" s="410"/>
      <c r="D85" s="410"/>
      <c r="E85" s="410"/>
      <c r="F85" s="410"/>
      <c r="G85" s="410"/>
      <c r="H85" s="410"/>
      <c r="I85" s="410"/>
      <c r="J85" s="410"/>
      <c r="K85" s="410"/>
      <c r="L85" s="410"/>
      <c r="M85" s="410"/>
      <c r="N85" s="410"/>
      <c r="O85" s="410"/>
      <c r="P85" s="410"/>
      <c r="Q85" s="410"/>
      <c r="R85" s="410"/>
      <c r="S85" s="410"/>
      <c r="T85" s="410"/>
      <c r="U85" s="410"/>
      <c r="V85" s="410"/>
      <c r="W85" s="353"/>
    </row>
    <row r="86" spans="1:23" s="354" customFormat="1" ht="27.95" customHeight="1">
      <c r="A86" s="409"/>
      <c r="B86" s="409"/>
      <c r="C86" s="410"/>
      <c r="D86" s="410"/>
      <c r="E86" s="410"/>
      <c r="F86" s="410"/>
      <c r="G86" s="410"/>
      <c r="H86" s="410"/>
      <c r="I86" s="410"/>
      <c r="J86" s="410"/>
      <c r="K86" s="410"/>
      <c r="L86" s="410"/>
      <c r="M86" s="410"/>
      <c r="N86" s="410"/>
      <c r="O86" s="410"/>
      <c r="P86" s="410"/>
      <c r="Q86" s="410"/>
      <c r="R86" s="410"/>
      <c r="S86" s="410"/>
      <c r="T86" s="410"/>
      <c r="U86" s="410"/>
      <c r="V86" s="410"/>
      <c r="W86" s="353"/>
    </row>
    <row r="87" spans="1:23" s="354" customFormat="1" ht="23.1" customHeight="1">
      <c r="A87" s="409"/>
      <c r="B87" s="409"/>
      <c r="C87" s="410"/>
      <c r="D87" s="410"/>
      <c r="E87" s="410"/>
      <c r="F87" s="410"/>
      <c r="G87" s="410"/>
      <c r="H87" s="410"/>
      <c r="I87" s="410"/>
      <c r="J87" s="410"/>
      <c r="K87" s="410"/>
      <c r="L87" s="410"/>
      <c r="M87" s="410"/>
      <c r="N87" s="410"/>
      <c r="O87" s="410"/>
      <c r="P87" s="410"/>
      <c r="Q87" s="410"/>
      <c r="R87" s="410"/>
      <c r="S87" s="410"/>
      <c r="T87" s="410"/>
      <c r="U87" s="410"/>
      <c r="V87" s="410"/>
      <c r="W87" s="353"/>
    </row>
    <row r="88" spans="1:23" s="354" customFormat="1" ht="23.1" customHeight="1">
      <c r="A88" s="409"/>
      <c r="B88" s="409"/>
      <c r="C88" s="410"/>
      <c r="D88" s="410"/>
      <c r="E88" s="410"/>
      <c r="F88" s="410"/>
      <c r="G88" s="410"/>
      <c r="H88" s="410"/>
      <c r="I88" s="410"/>
      <c r="J88" s="410"/>
      <c r="K88" s="410"/>
      <c r="L88" s="410"/>
      <c r="M88" s="410"/>
      <c r="N88" s="410"/>
      <c r="O88" s="410"/>
      <c r="P88" s="410"/>
      <c r="Q88" s="410"/>
      <c r="R88" s="410"/>
      <c r="S88" s="410"/>
      <c r="T88" s="410"/>
      <c r="U88" s="410"/>
      <c r="V88" s="410"/>
      <c r="W88" s="353"/>
    </row>
    <row r="89" spans="1:23" s="354" customFormat="1" ht="23.1" customHeight="1">
      <c r="A89" s="409"/>
      <c r="B89" s="409"/>
      <c r="C89" s="410"/>
      <c r="D89" s="410"/>
      <c r="E89" s="410"/>
      <c r="F89" s="410"/>
      <c r="G89" s="410"/>
      <c r="H89" s="410"/>
      <c r="I89" s="410"/>
      <c r="J89" s="410"/>
      <c r="K89" s="410"/>
      <c r="L89" s="410"/>
      <c r="M89" s="410"/>
      <c r="N89" s="410"/>
      <c r="O89" s="410"/>
      <c r="P89" s="410"/>
      <c r="Q89" s="410"/>
      <c r="R89" s="410"/>
      <c r="S89" s="410"/>
      <c r="T89" s="410"/>
      <c r="U89" s="410"/>
      <c r="V89" s="410"/>
      <c r="W89" s="353"/>
    </row>
    <row r="90" spans="1:23" s="354" customFormat="1" ht="23.1" customHeight="1">
      <c r="A90" s="409"/>
      <c r="B90" s="409"/>
      <c r="C90" s="410"/>
      <c r="D90" s="410"/>
      <c r="E90" s="410"/>
      <c r="F90" s="410"/>
      <c r="G90" s="410"/>
      <c r="H90" s="410"/>
      <c r="I90" s="410"/>
      <c r="J90" s="410"/>
      <c r="K90" s="410"/>
      <c r="L90" s="410"/>
      <c r="M90" s="410"/>
      <c r="N90" s="410"/>
      <c r="O90" s="410"/>
      <c r="P90" s="410"/>
      <c r="Q90" s="410"/>
      <c r="R90" s="410"/>
      <c r="S90" s="410"/>
      <c r="T90" s="410"/>
      <c r="U90" s="410"/>
      <c r="V90" s="410"/>
      <c r="W90" s="353"/>
    </row>
    <row r="91" spans="1:23" s="354" customFormat="1" ht="23.1" customHeight="1">
      <c r="A91" s="409"/>
      <c r="B91" s="409"/>
      <c r="C91" s="410"/>
      <c r="D91" s="410"/>
      <c r="E91" s="410"/>
      <c r="F91" s="410"/>
      <c r="G91" s="410"/>
      <c r="H91" s="410"/>
      <c r="I91" s="410"/>
      <c r="J91" s="410"/>
      <c r="K91" s="410"/>
      <c r="L91" s="410"/>
      <c r="M91" s="410"/>
      <c r="N91" s="410"/>
      <c r="O91" s="410"/>
      <c r="P91" s="410"/>
      <c r="Q91" s="410"/>
      <c r="R91" s="410"/>
      <c r="S91" s="410"/>
      <c r="T91" s="410"/>
      <c r="U91" s="410"/>
      <c r="V91" s="410"/>
      <c r="W91" s="353"/>
    </row>
    <row r="92" spans="1:23" s="354" customFormat="1" ht="23.1" customHeight="1">
      <c r="A92" s="409"/>
      <c r="B92" s="409"/>
      <c r="C92" s="410"/>
      <c r="D92" s="410"/>
      <c r="E92" s="410"/>
      <c r="F92" s="410"/>
      <c r="G92" s="410"/>
      <c r="H92" s="410"/>
      <c r="I92" s="410"/>
      <c r="J92" s="410"/>
      <c r="K92" s="410"/>
      <c r="L92" s="410"/>
      <c r="M92" s="410"/>
      <c r="N92" s="410"/>
      <c r="O92" s="410"/>
      <c r="P92" s="410"/>
      <c r="Q92" s="410"/>
      <c r="R92" s="410"/>
      <c r="S92" s="410"/>
      <c r="T92" s="410"/>
      <c r="U92" s="410"/>
      <c r="V92" s="410"/>
      <c r="W92" s="353"/>
    </row>
    <row r="93" spans="1:23" s="354" customFormat="1" ht="23.1" customHeight="1">
      <c r="A93" s="409"/>
      <c r="B93" s="409"/>
      <c r="C93" s="410"/>
      <c r="D93" s="410"/>
      <c r="E93" s="410"/>
      <c r="F93" s="410"/>
      <c r="G93" s="410"/>
      <c r="H93" s="410"/>
      <c r="I93" s="410"/>
      <c r="J93" s="410"/>
      <c r="K93" s="410"/>
      <c r="L93" s="410"/>
      <c r="M93" s="410"/>
      <c r="N93" s="410"/>
      <c r="O93" s="410"/>
      <c r="P93" s="410"/>
      <c r="Q93" s="410"/>
      <c r="R93" s="410"/>
      <c r="S93" s="410"/>
      <c r="T93" s="410"/>
      <c r="U93" s="410"/>
      <c r="V93" s="410"/>
      <c r="W93" s="353"/>
    </row>
    <row r="94" spans="1:23" s="354" customFormat="1" ht="23.1" customHeight="1">
      <c r="A94" s="409"/>
      <c r="B94" s="409"/>
      <c r="C94" s="410"/>
      <c r="D94" s="410"/>
      <c r="E94" s="410"/>
      <c r="F94" s="410"/>
      <c r="G94" s="410"/>
      <c r="H94" s="410"/>
      <c r="I94" s="410"/>
      <c r="J94" s="410"/>
      <c r="K94" s="410"/>
      <c r="L94" s="410"/>
      <c r="M94" s="410"/>
      <c r="N94" s="410"/>
      <c r="O94" s="410"/>
      <c r="P94" s="410"/>
      <c r="Q94" s="410"/>
      <c r="R94" s="410"/>
      <c r="S94" s="410"/>
      <c r="T94" s="410"/>
      <c r="U94" s="410"/>
      <c r="V94" s="410"/>
      <c r="W94" s="353"/>
    </row>
    <row r="95" spans="1:23" s="354" customFormat="1" ht="23.1" customHeight="1">
      <c r="A95" s="409"/>
      <c r="B95" s="409"/>
      <c r="C95" s="410"/>
      <c r="D95" s="410"/>
      <c r="E95" s="410"/>
      <c r="F95" s="410"/>
      <c r="G95" s="410"/>
      <c r="H95" s="410"/>
      <c r="I95" s="410"/>
      <c r="J95" s="410"/>
      <c r="K95" s="410"/>
      <c r="L95" s="410"/>
      <c r="M95" s="410"/>
      <c r="N95" s="410"/>
      <c r="O95" s="410"/>
      <c r="P95" s="410"/>
      <c r="Q95" s="410"/>
      <c r="R95" s="410"/>
      <c r="S95" s="410"/>
      <c r="T95" s="410"/>
      <c r="U95" s="410"/>
      <c r="V95" s="410"/>
      <c r="W95" s="353"/>
    </row>
    <row r="96" spans="1:23" s="354" customFormat="1" ht="23.1" customHeight="1">
      <c r="A96" s="409"/>
      <c r="B96" s="409"/>
      <c r="C96" s="410"/>
      <c r="D96" s="410"/>
      <c r="E96" s="410"/>
      <c r="F96" s="410"/>
      <c r="G96" s="410"/>
      <c r="H96" s="410"/>
      <c r="I96" s="410"/>
      <c r="J96" s="410"/>
      <c r="K96" s="410"/>
      <c r="L96" s="410"/>
      <c r="M96" s="410"/>
      <c r="N96" s="410"/>
      <c r="O96" s="410"/>
      <c r="P96" s="410"/>
      <c r="Q96" s="410"/>
      <c r="R96" s="410"/>
      <c r="S96" s="410"/>
      <c r="T96" s="410"/>
      <c r="U96" s="410"/>
      <c r="V96" s="410"/>
      <c r="W96" s="353"/>
    </row>
    <row r="97" spans="1:23" s="354" customFormat="1" ht="23.1" customHeight="1">
      <c r="A97" s="409"/>
      <c r="B97" s="409"/>
      <c r="C97" s="410"/>
      <c r="D97" s="410"/>
      <c r="E97" s="410"/>
      <c r="F97" s="410"/>
      <c r="G97" s="410"/>
      <c r="H97" s="410"/>
      <c r="I97" s="410"/>
      <c r="J97" s="410"/>
      <c r="K97" s="410"/>
      <c r="L97" s="410"/>
      <c r="M97" s="410"/>
      <c r="N97" s="410"/>
      <c r="O97" s="410"/>
      <c r="P97" s="410"/>
      <c r="Q97" s="410"/>
      <c r="R97" s="410"/>
      <c r="S97" s="410"/>
      <c r="T97" s="410"/>
      <c r="U97" s="410"/>
      <c r="V97" s="410"/>
      <c r="W97" s="353"/>
    </row>
    <row r="98" spans="1:23" s="354" customFormat="1" ht="23.1" customHeight="1">
      <c r="A98" s="409"/>
      <c r="B98" s="409"/>
      <c r="C98" s="410"/>
      <c r="D98" s="410"/>
      <c r="E98" s="410"/>
      <c r="F98" s="410"/>
      <c r="G98" s="410"/>
      <c r="H98" s="410"/>
      <c r="I98" s="410"/>
      <c r="J98" s="410"/>
      <c r="K98" s="410"/>
      <c r="L98" s="410"/>
      <c r="M98" s="410"/>
      <c r="N98" s="410"/>
      <c r="O98" s="410"/>
      <c r="P98" s="410"/>
      <c r="Q98" s="410"/>
      <c r="R98" s="410"/>
      <c r="S98" s="410"/>
      <c r="T98" s="410"/>
      <c r="U98" s="410"/>
      <c r="V98" s="410"/>
      <c r="W98" s="353"/>
    </row>
    <row r="99" spans="1:23" s="354" customFormat="1" ht="23.1" customHeight="1">
      <c r="A99" s="409"/>
      <c r="B99" s="409"/>
      <c r="C99" s="410"/>
      <c r="D99" s="410"/>
      <c r="E99" s="410"/>
      <c r="F99" s="410"/>
      <c r="G99" s="410"/>
      <c r="H99" s="410"/>
      <c r="I99" s="410"/>
      <c r="J99" s="410"/>
      <c r="K99" s="410"/>
      <c r="L99" s="410"/>
      <c r="M99" s="410"/>
      <c r="N99" s="410"/>
      <c r="O99" s="410"/>
      <c r="P99" s="410"/>
      <c r="Q99" s="410"/>
      <c r="R99" s="410"/>
      <c r="S99" s="410"/>
      <c r="T99" s="410"/>
      <c r="U99" s="410"/>
      <c r="V99" s="410"/>
      <c r="W99" s="353"/>
    </row>
    <row r="100" spans="1:23" s="354" customFormat="1" ht="23.1" customHeight="1">
      <c r="A100" s="409"/>
      <c r="B100" s="409"/>
      <c r="C100" s="410"/>
      <c r="D100" s="410"/>
      <c r="E100" s="410"/>
      <c r="F100" s="410"/>
      <c r="G100" s="410"/>
      <c r="H100" s="410"/>
      <c r="I100" s="410"/>
      <c r="J100" s="410"/>
      <c r="K100" s="410"/>
      <c r="L100" s="410"/>
      <c r="M100" s="410"/>
      <c r="N100" s="410"/>
      <c r="O100" s="410"/>
      <c r="P100" s="410"/>
      <c r="Q100" s="410"/>
      <c r="R100" s="410"/>
      <c r="S100" s="410"/>
      <c r="T100" s="410"/>
      <c r="U100" s="410"/>
      <c r="V100" s="410"/>
      <c r="W100" s="353"/>
    </row>
    <row r="101" spans="1:23" s="354" customFormat="1" ht="23.1" customHeight="1">
      <c r="A101" s="409"/>
      <c r="B101" s="409"/>
      <c r="C101" s="410"/>
      <c r="D101" s="410"/>
      <c r="E101" s="410"/>
      <c r="F101" s="410"/>
      <c r="G101" s="410"/>
      <c r="H101" s="410"/>
      <c r="I101" s="410"/>
      <c r="J101" s="410"/>
      <c r="K101" s="410"/>
      <c r="L101" s="410"/>
      <c r="M101" s="410"/>
      <c r="N101" s="410"/>
      <c r="O101" s="410"/>
      <c r="P101" s="410"/>
      <c r="Q101" s="410"/>
      <c r="R101" s="410"/>
      <c r="S101" s="410"/>
      <c r="T101" s="410"/>
      <c r="U101" s="410"/>
      <c r="V101" s="410"/>
      <c r="W101" s="353"/>
    </row>
    <row r="102" spans="1:23" s="354" customFormat="1" ht="23.1" customHeight="1">
      <c r="A102" s="409"/>
      <c r="B102" s="409"/>
      <c r="C102" s="410"/>
      <c r="D102" s="410"/>
      <c r="E102" s="410"/>
      <c r="F102" s="410"/>
      <c r="G102" s="410"/>
      <c r="H102" s="410"/>
      <c r="I102" s="410"/>
      <c r="J102" s="410"/>
      <c r="K102" s="410"/>
      <c r="L102" s="410"/>
      <c r="M102" s="410"/>
      <c r="N102" s="410"/>
      <c r="O102" s="410"/>
      <c r="P102" s="410"/>
      <c r="Q102" s="410"/>
      <c r="R102" s="410"/>
      <c r="S102" s="410"/>
      <c r="T102" s="410"/>
      <c r="U102" s="410"/>
      <c r="V102" s="410"/>
      <c r="W102" s="353"/>
    </row>
    <row r="103" spans="1:23" s="354" customFormat="1" ht="23.1" customHeight="1">
      <c r="A103" s="409"/>
      <c r="B103" s="409"/>
      <c r="C103" s="410"/>
      <c r="D103" s="410"/>
      <c r="E103" s="410"/>
      <c r="F103" s="410"/>
      <c r="G103" s="410"/>
      <c r="H103" s="410"/>
      <c r="I103" s="410"/>
      <c r="J103" s="410"/>
      <c r="K103" s="410"/>
      <c r="L103" s="410"/>
      <c r="M103" s="410"/>
      <c r="N103" s="410"/>
      <c r="O103" s="410"/>
      <c r="P103" s="410"/>
      <c r="Q103" s="410"/>
      <c r="R103" s="410"/>
      <c r="S103" s="410"/>
      <c r="T103" s="410"/>
      <c r="U103" s="410"/>
      <c r="V103" s="410"/>
      <c r="W103" s="353"/>
    </row>
    <row r="104" spans="1:23" s="354" customFormat="1" ht="23.1" customHeight="1">
      <c r="A104" s="409"/>
      <c r="B104" s="409"/>
      <c r="C104" s="410"/>
      <c r="D104" s="410"/>
      <c r="E104" s="410"/>
      <c r="F104" s="410"/>
      <c r="G104" s="410"/>
      <c r="H104" s="410"/>
      <c r="I104" s="410"/>
      <c r="J104" s="410"/>
      <c r="K104" s="410"/>
      <c r="L104" s="410"/>
      <c r="M104" s="410"/>
      <c r="N104" s="410"/>
      <c r="O104" s="410"/>
      <c r="P104" s="410"/>
      <c r="Q104" s="410"/>
      <c r="R104" s="410"/>
      <c r="S104" s="410"/>
      <c r="T104" s="410"/>
      <c r="U104" s="410"/>
      <c r="V104" s="410"/>
      <c r="W104" s="353"/>
    </row>
    <row r="105" spans="1:23" s="354" customFormat="1" ht="23.1" customHeight="1">
      <c r="A105" s="409"/>
      <c r="B105" s="409"/>
      <c r="C105" s="410"/>
      <c r="D105" s="410"/>
      <c r="E105" s="410"/>
      <c r="F105" s="410"/>
      <c r="G105" s="410"/>
      <c r="H105" s="410"/>
      <c r="I105" s="410"/>
      <c r="J105" s="410"/>
      <c r="K105" s="410"/>
      <c r="L105" s="410"/>
      <c r="M105" s="410"/>
      <c r="N105" s="410"/>
      <c r="O105" s="410"/>
      <c r="P105" s="410"/>
      <c r="Q105" s="410"/>
      <c r="R105" s="410"/>
      <c r="S105" s="410"/>
      <c r="T105" s="410"/>
      <c r="U105" s="410"/>
      <c r="V105" s="410"/>
      <c r="W105" s="353"/>
    </row>
    <row r="106" spans="1:23" s="354" customFormat="1" ht="23.1" customHeight="1">
      <c r="A106" s="409"/>
      <c r="B106" s="409"/>
      <c r="C106" s="410"/>
      <c r="D106" s="410"/>
      <c r="E106" s="410"/>
      <c r="F106" s="410"/>
      <c r="G106" s="410"/>
      <c r="H106" s="410"/>
      <c r="I106" s="410"/>
      <c r="J106" s="410"/>
      <c r="K106" s="410"/>
      <c r="L106" s="410"/>
      <c r="M106" s="410"/>
      <c r="N106" s="410"/>
      <c r="O106" s="410"/>
      <c r="P106" s="410"/>
      <c r="Q106" s="410"/>
      <c r="R106" s="410"/>
      <c r="S106" s="410"/>
      <c r="T106" s="410"/>
      <c r="U106" s="410"/>
      <c r="V106" s="410"/>
      <c r="W106" s="353"/>
    </row>
    <row r="107" spans="1:23" s="354" customFormat="1" ht="23.1" customHeight="1">
      <c r="A107" s="409"/>
      <c r="B107" s="409"/>
      <c r="C107" s="410"/>
      <c r="D107" s="410"/>
      <c r="E107" s="410"/>
      <c r="F107" s="410"/>
      <c r="G107" s="410"/>
      <c r="H107" s="410"/>
      <c r="I107" s="410"/>
      <c r="J107" s="410"/>
      <c r="K107" s="410"/>
      <c r="L107" s="410"/>
      <c r="M107" s="410"/>
      <c r="N107" s="410"/>
      <c r="O107" s="410"/>
      <c r="P107" s="410"/>
      <c r="Q107" s="410"/>
      <c r="R107" s="410"/>
      <c r="S107" s="410"/>
      <c r="T107" s="410"/>
      <c r="U107" s="410"/>
      <c r="V107" s="410"/>
      <c r="W107" s="353"/>
    </row>
    <row r="108" spans="1:23" s="354" customFormat="1" ht="23.1" customHeight="1">
      <c r="A108" s="409"/>
      <c r="B108" s="409"/>
      <c r="C108" s="410"/>
      <c r="D108" s="410"/>
      <c r="E108" s="410"/>
      <c r="F108" s="410"/>
      <c r="G108" s="410"/>
      <c r="H108" s="410"/>
      <c r="I108" s="410"/>
      <c r="J108" s="410"/>
      <c r="K108" s="410"/>
      <c r="L108" s="410"/>
      <c r="M108" s="410"/>
      <c r="N108" s="410"/>
      <c r="O108" s="410"/>
      <c r="P108" s="410"/>
      <c r="Q108" s="410"/>
      <c r="R108" s="410"/>
      <c r="S108" s="410"/>
      <c r="T108" s="410"/>
      <c r="U108" s="410"/>
      <c r="V108" s="410"/>
      <c r="W108" s="353"/>
    </row>
    <row r="109" spans="1:23" s="354" customFormat="1" ht="23.1" customHeight="1">
      <c r="A109" s="409"/>
      <c r="B109" s="409"/>
      <c r="C109" s="410"/>
      <c r="D109" s="410"/>
      <c r="E109" s="410"/>
      <c r="F109" s="410"/>
      <c r="G109" s="410"/>
      <c r="H109" s="410"/>
      <c r="I109" s="410"/>
      <c r="J109" s="410"/>
      <c r="K109" s="410"/>
      <c r="L109" s="410"/>
      <c r="M109" s="410"/>
      <c r="N109" s="410"/>
      <c r="O109" s="410"/>
      <c r="P109" s="410"/>
      <c r="Q109" s="410"/>
      <c r="R109" s="410"/>
      <c r="S109" s="410"/>
      <c r="T109" s="410"/>
      <c r="U109" s="410"/>
      <c r="V109" s="410"/>
      <c r="W109" s="353"/>
    </row>
    <row r="110" spans="1:23" s="354" customFormat="1" ht="23.1" customHeight="1">
      <c r="A110" s="409"/>
      <c r="B110" s="409"/>
      <c r="C110" s="410"/>
      <c r="D110" s="410"/>
      <c r="E110" s="410"/>
      <c r="F110" s="410"/>
      <c r="G110" s="410"/>
      <c r="H110" s="410"/>
      <c r="I110" s="410"/>
      <c r="J110" s="410"/>
      <c r="K110" s="410"/>
      <c r="L110" s="410"/>
      <c r="M110" s="410"/>
      <c r="N110" s="410"/>
      <c r="O110" s="410"/>
      <c r="P110" s="410"/>
      <c r="Q110" s="410"/>
      <c r="R110" s="410"/>
      <c r="S110" s="410"/>
      <c r="T110" s="410"/>
      <c r="U110" s="410"/>
      <c r="V110" s="410"/>
      <c r="W110" s="353"/>
    </row>
    <row r="111" spans="1:23" s="354" customFormat="1" ht="23.1" customHeight="1">
      <c r="A111" s="409"/>
      <c r="B111" s="409"/>
      <c r="C111" s="410"/>
      <c r="D111" s="410"/>
      <c r="E111" s="410"/>
      <c r="F111" s="410"/>
      <c r="G111" s="410"/>
      <c r="H111" s="410"/>
      <c r="I111" s="410"/>
      <c r="J111" s="410"/>
      <c r="K111" s="410"/>
      <c r="L111" s="410"/>
      <c r="M111" s="410"/>
      <c r="N111" s="410"/>
      <c r="O111" s="410"/>
      <c r="P111" s="410"/>
      <c r="Q111" s="410"/>
      <c r="R111" s="410"/>
      <c r="S111" s="410"/>
      <c r="T111" s="410"/>
      <c r="U111" s="410"/>
      <c r="V111" s="410"/>
      <c r="W111" s="353"/>
    </row>
    <row r="112" spans="1:23" s="354" customFormat="1" ht="23.1" customHeight="1">
      <c r="A112" s="409"/>
      <c r="B112" s="409"/>
      <c r="C112" s="410"/>
      <c r="D112" s="410"/>
      <c r="E112" s="410"/>
      <c r="F112" s="410"/>
      <c r="G112" s="410"/>
      <c r="H112" s="410"/>
      <c r="I112" s="410"/>
      <c r="J112" s="410"/>
      <c r="K112" s="410"/>
      <c r="L112" s="410"/>
      <c r="M112" s="410"/>
      <c r="N112" s="410"/>
      <c r="O112" s="410"/>
      <c r="P112" s="410"/>
      <c r="Q112" s="410"/>
      <c r="R112" s="410"/>
      <c r="S112" s="410"/>
      <c r="T112" s="410"/>
      <c r="U112" s="410"/>
      <c r="V112" s="410"/>
      <c r="W112" s="353"/>
    </row>
    <row r="113" spans="1:23" s="352" customFormat="1" ht="20.100000000000001" customHeight="1">
      <c r="A113" s="409"/>
      <c r="B113" s="409"/>
      <c r="C113" s="410"/>
      <c r="D113" s="410"/>
      <c r="E113" s="410"/>
      <c r="F113" s="410"/>
      <c r="G113" s="410"/>
      <c r="H113" s="410"/>
      <c r="I113" s="410"/>
      <c r="J113" s="410"/>
      <c r="K113" s="410"/>
      <c r="L113" s="410"/>
      <c r="M113" s="410"/>
      <c r="N113" s="410"/>
      <c r="O113" s="410"/>
      <c r="P113" s="410"/>
      <c r="Q113" s="410"/>
      <c r="R113" s="410"/>
      <c r="S113" s="410"/>
      <c r="T113" s="410"/>
      <c r="U113" s="410"/>
      <c r="V113" s="410"/>
    </row>
    <row r="114" spans="1:23" s="352" customFormat="1" ht="9.9499999999999993" customHeight="1">
      <c r="A114" s="409"/>
      <c r="B114" s="409"/>
      <c r="C114" s="410"/>
      <c r="D114" s="410"/>
      <c r="E114" s="410"/>
      <c r="F114" s="410"/>
      <c r="G114" s="410"/>
      <c r="H114" s="410"/>
      <c r="I114" s="410"/>
      <c r="J114" s="410"/>
      <c r="K114" s="410"/>
      <c r="L114" s="410"/>
      <c r="M114" s="410"/>
      <c r="N114" s="410"/>
      <c r="O114" s="410"/>
      <c r="P114" s="410"/>
      <c r="Q114" s="410"/>
      <c r="R114" s="410"/>
      <c r="S114" s="410"/>
      <c r="T114" s="410"/>
      <c r="U114" s="410"/>
      <c r="V114" s="410"/>
    </row>
    <row r="115" spans="1:23" s="354" customFormat="1" ht="27.95" customHeight="1">
      <c r="A115" s="409"/>
      <c r="B115" s="409"/>
      <c r="C115" s="410"/>
      <c r="D115" s="410"/>
      <c r="E115" s="410"/>
      <c r="F115" s="410"/>
      <c r="G115" s="410"/>
      <c r="H115" s="410"/>
      <c r="I115" s="410"/>
      <c r="J115" s="410"/>
      <c r="K115" s="410"/>
      <c r="L115" s="410"/>
      <c r="M115" s="410"/>
      <c r="N115" s="410"/>
      <c r="O115" s="410"/>
      <c r="P115" s="410"/>
      <c r="Q115" s="410"/>
      <c r="R115" s="410"/>
      <c r="S115" s="410"/>
      <c r="T115" s="410"/>
      <c r="U115" s="410"/>
      <c r="V115" s="410"/>
      <c r="W115" s="353"/>
    </row>
    <row r="116" spans="1:23" s="354" customFormat="1" ht="27.95" customHeight="1">
      <c r="A116" s="409"/>
      <c r="B116" s="409"/>
      <c r="C116" s="410"/>
      <c r="D116" s="410"/>
      <c r="E116" s="410"/>
      <c r="F116" s="410"/>
      <c r="G116" s="410"/>
      <c r="H116" s="410"/>
      <c r="I116" s="410"/>
      <c r="J116" s="410"/>
      <c r="K116" s="410"/>
      <c r="L116" s="410"/>
      <c r="M116" s="410"/>
      <c r="N116" s="410"/>
      <c r="O116" s="410"/>
      <c r="P116" s="410"/>
      <c r="Q116" s="410"/>
      <c r="R116" s="410"/>
      <c r="S116" s="410"/>
      <c r="T116" s="410"/>
      <c r="U116" s="410"/>
      <c r="V116" s="410"/>
      <c r="W116" s="353"/>
    </row>
    <row r="117" spans="1:23" s="354" customFormat="1" ht="23.1" customHeight="1">
      <c r="A117" s="409"/>
      <c r="B117" s="409"/>
      <c r="C117" s="410"/>
      <c r="D117" s="410"/>
      <c r="E117" s="410"/>
      <c r="F117" s="410"/>
      <c r="G117" s="410"/>
      <c r="H117" s="410"/>
      <c r="I117" s="410"/>
      <c r="J117" s="410"/>
      <c r="K117" s="410"/>
      <c r="L117" s="410"/>
      <c r="M117" s="410"/>
      <c r="N117" s="410"/>
      <c r="O117" s="410"/>
      <c r="P117" s="410"/>
      <c r="Q117" s="410"/>
      <c r="R117" s="410"/>
      <c r="S117" s="410"/>
      <c r="T117" s="410"/>
      <c r="U117" s="410"/>
      <c r="V117" s="410"/>
      <c r="W117" s="353"/>
    </row>
    <row r="118" spans="1:23" s="354" customFormat="1" ht="23.1" customHeight="1">
      <c r="A118" s="409"/>
      <c r="B118" s="409"/>
      <c r="C118" s="410"/>
      <c r="D118" s="410"/>
      <c r="E118" s="410"/>
      <c r="F118" s="410"/>
      <c r="G118" s="410"/>
      <c r="H118" s="410"/>
      <c r="I118" s="410"/>
      <c r="J118" s="410"/>
      <c r="K118" s="410"/>
      <c r="L118" s="410"/>
      <c r="M118" s="410"/>
      <c r="N118" s="410"/>
      <c r="O118" s="410"/>
      <c r="P118" s="410"/>
      <c r="Q118" s="410"/>
      <c r="R118" s="410"/>
      <c r="S118" s="410"/>
      <c r="T118" s="410"/>
      <c r="U118" s="410"/>
      <c r="V118" s="410"/>
      <c r="W118" s="353"/>
    </row>
    <row r="119" spans="1:23" s="354" customFormat="1" ht="23.1" customHeight="1">
      <c r="A119" s="409"/>
      <c r="B119" s="409"/>
      <c r="C119" s="410"/>
      <c r="D119" s="410"/>
      <c r="E119" s="410"/>
      <c r="F119" s="410"/>
      <c r="G119" s="410"/>
      <c r="H119" s="410"/>
      <c r="I119" s="410"/>
      <c r="J119" s="410"/>
      <c r="K119" s="410"/>
      <c r="L119" s="410"/>
      <c r="M119" s="410"/>
      <c r="N119" s="410"/>
      <c r="O119" s="410"/>
      <c r="P119" s="410"/>
      <c r="Q119" s="410"/>
      <c r="R119" s="410"/>
      <c r="S119" s="410"/>
      <c r="T119" s="410"/>
      <c r="U119" s="410"/>
      <c r="V119" s="410"/>
      <c r="W119" s="353"/>
    </row>
    <row r="120" spans="1:23" s="354" customFormat="1" ht="23.1" customHeight="1">
      <c r="A120" s="409"/>
      <c r="B120" s="409"/>
      <c r="C120" s="410"/>
      <c r="D120" s="410"/>
      <c r="E120" s="410"/>
      <c r="F120" s="410"/>
      <c r="G120" s="410"/>
      <c r="H120" s="410"/>
      <c r="I120" s="410"/>
      <c r="J120" s="410"/>
      <c r="K120" s="410"/>
      <c r="L120" s="410"/>
      <c r="M120" s="410"/>
      <c r="N120" s="410"/>
      <c r="O120" s="410"/>
      <c r="P120" s="410"/>
      <c r="Q120" s="410"/>
      <c r="R120" s="410"/>
      <c r="S120" s="410"/>
      <c r="T120" s="410"/>
      <c r="U120" s="410"/>
      <c r="V120" s="410"/>
      <c r="W120" s="353"/>
    </row>
    <row r="121" spans="1:23" s="354" customFormat="1" ht="23.1" customHeight="1">
      <c r="A121" s="409"/>
      <c r="B121" s="409"/>
      <c r="C121" s="410"/>
      <c r="D121" s="410"/>
      <c r="E121" s="410"/>
      <c r="F121" s="410"/>
      <c r="G121" s="410"/>
      <c r="H121" s="410"/>
      <c r="I121" s="410"/>
      <c r="J121" s="410"/>
      <c r="K121" s="410"/>
      <c r="L121" s="410"/>
      <c r="M121" s="410"/>
      <c r="N121" s="410"/>
      <c r="O121" s="410"/>
      <c r="P121" s="410"/>
      <c r="Q121" s="410"/>
      <c r="R121" s="410"/>
      <c r="S121" s="410"/>
      <c r="T121" s="410"/>
      <c r="U121" s="410"/>
      <c r="V121" s="410"/>
      <c r="W121" s="353"/>
    </row>
    <row r="122" spans="1:23" s="354" customFormat="1" ht="23.1" customHeight="1">
      <c r="A122" s="409"/>
      <c r="B122" s="409"/>
      <c r="C122" s="410"/>
      <c r="D122" s="410"/>
      <c r="E122" s="410"/>
      <c r="F122" s="410"/>
      <c r="G122" s="410"/>
      <c r="H122" s="410"/>
      <c r="I122" s="410"/>
      <c r="J122" s="410"/>
      <c r="K122" s="410"/>
      <c r="L122" s="410"/>
      <c r="M122" s="410"/>
      <c r="N122" s="410"/>
      <c r="O122" s="410"/>
      <c r="P122" s="410"/>
      <c r="Q122" s="410"/>
      <c r="R122" s="410"/>
      <c r="S122" s="410"/>
      <c r="T122" s="410"/>
      <c r="U122" s="410"/>
      <c r="V122" s="410"/>
      <c r="W122" s="353"/>
    </row>
    <row r="123" spans="1:23" s="354" customFormat="1" ht="23.1" customHeight="1">
      <c r="A123" s="409"/>
      <c r="B123" s="409"/>
      <c r="C123" s="410"/>
      <c r="D123" s="410"/>
      <c r="E123" s="410"/>
      <c r="F123" s="410"/>
      <c r="G123" s="410"/>
      <c r="H123" s="410"/>
      <c r="I123" s="410"/>
      <c r="J123" s="410"/>
      <c r="K123" s="410"/>
      <c r="L123" s="410"/>
      <c r="M123" s="410"/>
      <c r="N123" s="410"/>
      <c r="O123" s="410"/>
      <c r="P123" s="410"/>
      <c r="Q123" s="410"/>
      <c r="R123" s="410"/>
      <c r="S123" s="410"/>
      <c r="T123" s="410"/>
      <c r="U123" s="410"/>
      <c r="V123" s="410"/>
      <c r="W123" s="353"/>
    </row>
    <row r="124" spans="1:23" s="354" customFormat="1" ht="23.1" customHeight="1">
      <c r="A124" s="409"/>
      <c r="B124" s="409"/>
      <c r="C124" s="410"/>
      <c r="D124" s="410"/>
      <c r="E124" s="410"/>
      <c r="F124" s="410"/>
      <c r="G124" s="410"/>
      <c r="H124" s="410"/>
      <c r="I124" s="410"/>
      <c r="J124" s="410"/>
      <c r="K124" s="410"/>
      <c r="L124" s="410"/>
      <c r="M124" s="410"/>
      <c r="N124" s="410"/>
      <c r="O124" s="410"/>
      <c r="P124" s="410"/>
      <c r="Q124" s="410"/>
      <c r="R124" s="410"/>
      <c r="S124" s="410"/>
      <c r="T124" s="410"/>
      <c r="U124" s="410"/>
      <c r="V124" s="410"/>
      <c r="W124" s="353"/>
    </row>
    <row r="125" spans="1:23" s="354" customFormat="1" ht="23.1" customHeight="1">
      <c r="A125" s="409"/>
      <c r="B125" s="409"/>
      <c r="C125" s="410"/>
      <c r="D125" s="410"/>
      <c r="E125" s="410"/>
      <c r="F125" s="410"/>
      <c r="G125" s="410"/>
      <c r="H125" s="410"/>
      <c r="I125" s="410"/>
      <c r="J125" s="410"/>
      <c r="K125" s="410"/>
      <c r="L125" s="410"/>
      <c r="M125" s="410"/>
      <c r="N125" s="410"/>
      <c r="O125" s="410"/>
      <c r="P125" s="410"/>
      <c r="Q125" s="410"/>
      <c r="R125" s="410"/>
      <c r="S125" s="410"/>
      <c r="T125" s="410"/>
      <c r="U125" s="410"/>
      <c r="V125" s="410"/>
      <c r="W125" s="353"/>
    </row>
    <row r="126" spans="1:23" s="354" customFormat="1" ht="23.1" customHeight="1">
      <c r="A126" s="409"/>
      <c r="B126" s="409"/>
      <c r="C126" s="410"/>
      <c r="D126" s="410"/>
      <c r="E126" s="410"/>
      <c r="F126" s="410"/>
      <c r="G126" s="410"/>
      <c r="H126" s="410"/>
      <c r="I126" s="410"/>
      <c r="J126" s="410"/>
      <c r="K126" s="410"/>
      <c r="L126" s="410"/>
      <c r="M126" s="410"/>
      <c r="N126" s="410"/>
      <c r="O126" s="410"/>
      <c r="P126" s="410"/>
      <c r="Q126" s="410"/>
      <c r="R126" s="410"/>
      <c r="S126" s="410"/>
      <c r="T126" s="410"/>
      <c r="U126" s="410"/>
      <c r="V126" s="410"/>
      <c r="W126" s="353"/>
    </row>
    <row r="127" spans="1:23" s="354" customFormat="1" ht="23.1" customHeight="1">
      <c r="A127" s="409"/>
      <c r="B127" s="409"/>
      <c r="C127" s="410"/>
      <c r="D127" s="410"/>
      <c r="E127" s="410"/>
      <c r="F127" s="410"/>
      <c r="G127" s="410"/>
      <c r="H127" s="410"/>
      <c r="I127" s="410"/>
      <c r="J127" s="410"/>
      <c r="K127" s="410"/>
      <c r="L127" s="410"/>
      <c r="M127" s="410"/>
      <c r="N127" s="410"/>
      <c r="O127" s="410"/>
      <c r="P127" s="410"/>
      <c r="Q127" s="410"/>
      <c r="R127" s="410"/>
      <c r="S127" s="410"/>
      <c r="T127" s="410"/>
      <c r="U127" s="410"/>
      <c r="V127" s="410"/>
      <c r="W127" s="353"/>
    </row>
    <row r="128" spans="1:23" s="354" customFormat="1" ht="23.1" customHeight="1">
      <c r="A128" s="409"/>
      <c r="B128" s="409"/>
      <c r="C128" s="410"/>
      <c r="D128" s="410"/>
      <c r="E128" s="410"/>
      <c r="F128" s="410"/>
      <c r="G128" s="410"/>
      <c r="H128" s="410"/>
      <c r="I128" s="410"/>
      <c r="J128" s="410"/>
      <c r="K128" s="410"/>
      <c r="L128" s="410"/>
      <c r="M128" s="410"/>
      <c r="N128" s="410"/>
      <c r="O128" s="410"/>
      <c r="P128" s="410"/>
      <c r="Q128" s="410"/>
      <c r="R128" s="410"/>
      <c r="S128" s="410"/>
      <c r="T128" s="410"/>
      <c r="U128" s="410"/>
      <c r="V128" s="410"/>
      <c r="W128" s="353"/>
    </row>
    <row r="129" spans="1:23" s="354" customFormat="1" ht="23.1" customHeight="1">
      <c r="A129" s="409"/>
      <c r="B129" s="409"/>
      <c r="C129" s="410"/>
      <c r="D129" s="410"/>
      <c r="E129" s="410"/>
      <c r="F129" s="410"/>
      <c r="G129" s="410"/>
      <c r="H129" s="410"/>
      <c r="I129" s="410"/>
      <c r="J129" s="410"/>
      <c r="K129" s="410"/>
      <c r="L129" s="410"/>
      <c r="M129" s="410"/>
      <c r="N129" s="410"/>
      <c r="O129" s="410"/>
      <c r="P129" s="410"/>
      <c r="Q129" s="410"/>
      <c r="R129" s="410"/>
      <c r="S129" s="410"/>
      <c r="T129" s="410"/>
      <c r="U129" s="410"/>
      <c r="V129" s="410"/>
      <c r="W129" s="353"/>
    </row>
    <row r="130" spans="1:23" s="354" customFormat="1" ht="23.1" customHeight="1">
      <c r="A130" s="409"/>
      <c r="B130" s="409"/>
      <c r="C130" s="410"/>
      <c r="D130" s="410"/>
      <c r="E130" s="410"/>
      <c r="F130" s="410"/>
      <c r="G130" s="410"/>
      <c r="H130" s="410"/>
      <c r="I130" s="410"/>
      <c r="J130" s="410"/>
      <c r="K130" s="410"/>
      <c r="L130" s="410"/>
      <c r="M130" s="410"/>
      <c r="N130" s="410"/>
      <c r="O130" s="410"/>
      <c r="P130" s="410"/>
      <c r="Q130" s="410"/>
      <c r="R130" s="410"/>
      <c r="S130" s="410"/>
      <c r="T130" s="410"/>
      <c r="U130" s="410"/>
      <c r="V130" s="410"/>
      <c r="W130" s="353"/>
    </row>
    <row r="131" spans="1:23" s="354" customFormat="1" ht="23.1" customHeight="1">
      <c r="A131" s="409"/>
      <c r="B131" s="409"/>
      <c r="C131" s="410"/>
      <c r="D131" s="410"/>
      <c r="E131" s="410"/>
      <c r="F131" s="410"/>
      <c r="G131" s="410"/>
      <c r="H131" s="410"/>
      <c r="I131" s="410"/>
      <c r="J131" s="410"/>
      <c r="K131" s="410"/>
      <c r="L131" s="410"/>
      <c r="M131" s="410"/>
      <c r="N131" s="410"/>
      <c r="O131" s="410"/>
      <c r="P131" s="410"/>
      <c r="Q131" s="410"/>
      <c r="R131" s="410"/>
      <c r="S131" s="410"/>
      <c r="T131" s="410"/>
      <c r="U131" s="410"/>
      <c r="V131" s="410"/>
      <c r="W131" s="353"/>
    </row>
    <row r="132" spans="1:23" s="354" customFormat="1" ht="23.1" customHeight="1">
      <c r="A132" s="409"/>
      <c r="B132" s="409"/>
      <c r="C132" s="410"/>
      <c r="D132" s="410"/>
      <c r="E132" s="410"/>
      <c r="F132" s="410"/>
      <c r="G132" s="410"/>
      <c r="H132" s="410"/>
      <c r="I132" s="410"/>
      <c r="J132" s="410"/>
      <c r="K132" s="410"/>
      <c r="L132" s="410"/>
      <c r="M132" s="410"/>
      <c r="N132" s="410"/>
      <c r="O132" s="410"/>
      <c r="P132" s="410"/>
      <c r="Q132" s="410"/>
      <c r="R132" s="410"/>
      <c r="S132" s="410"/>
      <c r="T132" s="410"/>
      <c r="U132" s="410"/>
      <c r="V132" s="410"/>
      <c r="W132" s="353"/>
    </row>
    <row r="133" spans="1:23" s="354" customFormat="1" ht="23.1" customHeight="1">
      <c r="A133" s="409"/>
      <c r="B133" s="409"/>
      <c r="C133" s="410"/>
      <c r="D133" s="410"/>
      <c r="E133" s="410"/>
      <c r="F133" s="410"/>
      <c r="G133" s="410"/>
      <c r="H133" s="410"/>
      <c r="I133" s="410"/>
      <c r="J133" s="410"/>
      <c r="K133" s="410"/>
      <c r="L133" s="410"/>
      <c r="M133" s="410"/>
      <c r="N133" s="410"/>
      <c r="O133" s="410"/>
      <c r="P133" s="410"/>
      <c r="Q133" s="410"/>
      <c r="R133" s="410"/>
      <c r="S133" s="410"/>
      <c r="T133" s="410"/>
      <c r="U133" s="410"/>
      <c r="V133" s="410"/>
      <c r="W133" s="353"/>
    </row>
    <row r="134" spans="1:23" s="354" customFormat="1" ht="23.1" customHeight="1">
      <c r="A134" s="409"/>
      <c r="B134" s="409"/>
      <c r="C134" s="410"/>
      <c r="D134" s="410"/>
      <c r="E134" s="410"/>
      <c r="F134" s="410"/>
      <c r="G134" s="410"/>
      <c r="H134" s="410"/>
      <c r="I134" s="410"/>
      <c r="J134" s="410"/>
      <c r="K134" s="410"/>
      <c r="L134" s="410"/>
      <c r="M134" s="410"/>
      <c r="N134" s="410"/>
      <c r="O134" s="410"/>
      <c r="P134" s="410"/>
      <c r="Q134" s="410"/>
      <c r="R134" s="410"/>
      <c r="S134" s="410"/>
      <c r="T134" s="410"/>
      <c r="U134" s="410"/>
      <c r="V134" s="410"/>
      <c r="W134" s="353"/>
    </row>
    <row r="135" spans="1:23" s="354" customFormat="1" ht="23.1" customHeight="1">
      <c r="A135" s="409"/>
      <c r="B135" s="409"/>
      <c r="C135" s="410"/>
      <c r="D135" s="410"/>
      <c r="E135" s="410"/>
      <c r="F135" s="410"/>
      <c r="G135" s="410"/>
      <c r="H135" s="410"/>
      <c r="I135" s="410"/>
      <c r="J135" s="410"/>
      <c r="K135" s="410"/>
      <c r="L135" s="410"/>
      <c r="M135" s="410"/>
      <c r="N135" s="410"/>
      <c r="O135" s="410"/>
      <c r="P135" s="410"/>
      <c r="Q135" s="410"/>
      <c r="R135" s="410"/>
      <c r="S135" s="410"/>
      <c r="T135" s="410"/>
      <c r="U135" s="410"/>
      <c r="V135" s="410"/>
      <c r="W135" s="353"/>
    </row>
    <row r="136" spans="1:23" s="354" customFormat="1" ht="23.1" customHeight="1">
      <c r="A136" s="409"/>
      <c r="B136" s="409"/>
      <c r="C136" s="410"/>
      <c r="D136" s="410"/>
      <c r="E136" s="410"/>
      <c r="F136" s="410"/>
      <c r="G136" s="410"/>
      <c r="H136" s="410"/>
      <c r="I136" s="410"/>
      <c r="J136" s="410"/>
      <c r="K136" s="410"/>
      <c r="L136" s="410"/>
      <c r="M136" s="410"/>
      <c r="N136" s="410"/>
      <c r="O136" s="410"/>
      <c r="P136" s="410"/>
      <c r="Q136" s="410"/>
      <c r="R136" s="410"/>
      <c r="S136" s="410"/>
      <c r="T136" s="410"/>
      <c r="U136" s="410"/>
      <c r="V136" s="410"/>
      <c r="W136" s="353"/>
    </row>
    <row r="137" spans="1:23" s="354" customFormat="1" ht="23.1" customHeight="1">
      <c r="A137" s="409"/>
      <c r="B137" s="409"/>
      <c r="C137" s="410"/>
      <c r="D137" s="410"/>
      <c r="E137" s="410"/>
      <c r="F137" s="410"/>
      <c r="G137" s="410"/>
      <c r="H137" s="410"/>
      <c r="I137" s="410"/>
      <c r="J137" s="410"/>
      <c r="K137" s="410"/>
      <c r="L137" s="410"/>
      <c r="M137" s="410"/>
      <c r="N137" s="410"/>
      <c r="O137" s="410"/>
      <c r="P137" s="410"/>
      <c r="Q137" s="410"/>
      <c r="R137" s="410"/>
      <c r="S137" s="410"/>
      <c r="T137" s="410"/>
      <c r="U137" s="410"/>
      <c r="V137" s="410"/>
      <c r="W137" s="353"/>
    </row>
    <row r="138" spans="1:23" s="354" customFormat="1" ht="23.1" customHeight="1">
      <c r="A138" s="409"/>
      <c r="B138" s="409"/>
      <c r="C138" s="410"/>
      <c r="D138" s="410"/>
      <c r="E138" s="410"/>
      <c r="F138" s="410"/>
      <c r="G138" s="410"/>
      <c r="H138" s="410"/>
      <c r="I138" s="410"/>
      <c r="J138" s="410"/>
      <c r="K138" s="410"/>
      <c r="L138" s="410"/>
      <c r="M138" s="410"/>
      <c r="N138" s="410"/>
      <c r="O138" s="410"/>
      <c r="P138" s="410"/>
      <c r="Q138" s="410"/>
      <c r="R138" s="410"/>
      <c r="S138" s="410"/>
      <c r="T138" s="410"/>
      <c r="U138" s="410"/>
      <c r="V138" s="410"/>
      <c r="W138" s="353"/>
    </row>
    <row r="139" spans="1:23" s="354" customFormat="1" ht="23.1" customHeight="1">
      <c r="A139" s="409"/>
      <c r="B139" s="409"/>
      <c r="C139" s="410"/>
      <c r="D139" s="410"/>
      <c r="E139" s="410"/>
      <c r="F139" s="410"/>
      <c r="G139" s="410"/>
      <c r="H139" s="410"/>
      <c r="I139" s="410"/>
      <c r="J139" s="410"/>
      <c r="K139" s="410"/>
      <c r="L139" s="410"/>
      <c r="M139" s="410"/>
      <c r="N139" s="410"/>
      <c r="O139" s="410"/>
      <c r="P139" s="410"/>
      <c r="Q139" s="410"/>
      <c r="R139" s="410"/>
      <c r="S139" s="410"/>
      <c r="T139" s="410"/>
      <c r="U139" s="410"/>
      <c r="V139" s="410"/>
      <c r="W139" s="353"/>
    </row>
    <row r="140" spans="1:23" s="354" customFormat="1" ht="23.1" customHeight="1">
      <c r="A140" s="409"/>
      <c r="B140" s="409"/>
      <c r="C140" s="410"/>
      <c r="D140" s="410"/>
      <c r="E140" s="410"/>
      <c r="F140" s="410"/>
      <c r="G140" s="410"/>
      <c r="H140" s="410"/>
      <c r="I140" s="410"/>
      <c r="J140" s="410"/>
      <c r="K140" s="410"/>
      <c r="L140" s="410"/>
      <c r="M140" s="410"/>
      <c r="N140" s="410"/>
      <c r="O140" s="410"/>
      <c r="P140" s="410"/>
      <c r="Q140" s="410"/>
      <c r="R140" s="410"/>
      <c r="S140" s="410"/>
      <c r="T140" s="410"/>
      <c r="U140" s="410"/>
      <c r="V140" s="410"/>
      <c r="W140" s="353"/>
    </row>
    <row r="141" spans="1:23" s="354" customFormat="1" ht="23.1" customHeight="1">
      <c r="A141" s="409"/>
      <c r="B141" s="409"/>
      <c r="C141" s="410"/>
      <c r="D141" s="410"/>
      <c r="E141" s="410"/>
      <c r="F141" s="410"/>
      <c r="G141" s="410"/>
      <c r="H141" s="410"/>
      <c r="I141" s="410"/>
      <c r="J141" s="410"/>
      <c r="K141" s="410"/>
      <c r="L141" s="410"/>
      <c r="M141" s="410"/>
      <c r="N141" s="410"/>
      <c r="O141" s="410"/>
      <c r="P141" s="410"/>
      <c r="Q141" s="410"/>
      <c r="R141" s="410"/>
      <c r="S141" s="410"/>
      <c r="T141" s="410"/>
      <c r="U141" s="410"/>
      <c r="V141" s="410"/>
      <c r="W141" s="353"/>
    </row>
    <row r="142" spans="1:23" s="354" customFormat="1" ht="23.1" customHeight="1">
      <c r="A142" s="409"/>
      <c r="B142" s="409"/>
      <c r="C142" s="410"/>
      <c r="D142" s="410"/>
      <c r="E142" s="410"/>
      <c r="F142" s="410"/>
      <c r="G142" s="410"/>
      <c r="H142" s="410"/>
      <c r="I142" s="410"/>
      <c r="J142" s="410"/>
      <c r="K142" s="410"/>
      <c r="L142" s="410"/>
      <c r="M142" s="410"/>
      <c r="N142" s="410"/>
      <c r="O142" s="410"/>
      <c r="P142" s="410"/>
      <c r="Q142" s="410"/>
      <c r="R142" s="410"/>
      <c r="S142" s="410"/>
      <c r="T142" s="410"/>
      <c r="U142" s="410"/>
      <c r="V142" s="410"/>
      <c r="W142" s="353"/>
    </row>
    <row r="143" spans="1:23" s="352" customFormat="1" ht="20.100000000000001" customHeight="1">
      <c r="A143" s="409"/>
      <c r="B143" s="409"/>
      <c r="C143" s="410"/>
      <c r="D143" s="410"/>
      <c r="E143" s="410"/>
      <c r="F143" s="410"/>
      <c r="G143" s="410"/>
      <c r="H143" s="410"/>
      <c r="I143" s="410"/>
      <c r="J143" s="410"/>
      <c r="K143" s="410"/>
      <c r="L143" s="410"/>
      <c r="M143" s="410"/>
      <c r="N143" s="410"/>
      <c r="O143" s="410"/>
      <c r="P143" s="410"/>
      <c r="Q143" s="410"/>
      <c r="R143" s="410"/>
      <c r="S143" s="410"/>
      <c r="T143" s="410"/>
      <c r="U143" s="410"/>
      <c r="V143" s="410"/>
    </row>
    <row r="144" spans="1:23" s="352" customFormat="1" ht="9.9499999999999993" customHeight="1">
      <c r="A144" s="409"/>
      <c r="B144" s="409"/>
      <c r="C144" s="410"/>
      <c r="D144" s="410"/>
      <c r="E144" s="410"/>
      <c r="F144" s="410"/>
      <c r="G144" s="410"/>
      <c r="H144" s="410"/>
      <c r="I144" s="410"/>
      <c r="J144" s="410"/>
      <c r="K144" s="410"/>
      <c r="L144" s="410"/>
      <c r="M144" s="410"/>
      <c r="N144" s="410"/>
      <c r="O144" s="410"/>
      <c r="P144" s="410"/>
      <c r="Q144" s="410"/>
      <c r="R144" s="410"/>
      <c r="S144" s="410"/>
      <c r="T144" s="410"/>
      <c r="U144" s="410"/>
      <c r="V144" s="410"/>
    </row>
    <row r="145" spans="1:23" s="354" customFormat="1" ht="27.95" customHeight="1">
      <c r="A145" s="409"/>
      <c r="B145" s="409"/>
      <c r="C145" s="410"/>
      <c r="D145" s="410"/>
      <c r="E145" s="410"/>
      <c r="F145" s="410"/>
      <c r="G145" s="410"/>
      <c r="H145" s="410"/>
      <c r="I145" s="410"/>
      <c r="J145" s="410"/>
      <c r="K145" s="410"/>
      <c r="L145" s="410"/>
      <c r="M145" s="410"/>
      <c r="N145" s="410"/>
      <c r="O145" s="410"/>
      <c r="P145" s="410"/>
      <c r="Q145" s="410"/>
      <c r="R145" s="410"/>
      <c r="S145" s="410"/>
      <c r="T145" s="410"/>
      <c r="U145" s="410"/>
      <c r="V145" s="410"/>
      <c r="W145" s="353"/>
    </row>
    <row r="146" spans="1:23" s="354" customFormat="1" ht="27.95" customHeight="1">
      <c r="A146" s="409"/>
      <c r="B146" s="409"/>
      <c r="C146" s="410"/>
      <c r="D146" s="410"/>
      <c r="E146" s="410"/>
      <c r="F146" s="410"/>
      <c r="G146" s="410"/>
      <c r="H146" s="410"/>
      <c r="I146" s="410"/>
      <c r="J146" s="410"/>
      <c r="K146" s="410"/>
      <c r="L146" s="410"/>
      <c r="M146" s="410"/>
      <c r="N146" s="410"/>
      <c r="O146" s="410"/>
      <c r="P146" s="410"/>
      <c r="Q146" s="410"/>
      <c r="R146" s="410"/>
      <c r="S146" s="410"/>
      <c r="T146" s="410"/>
      <c r="U146" s="410"/>
      <c r="V146" s="410"/>
      <c r="W146" s="353"/>
    </row>
    <row r="147" spans="1:23" s="354" customFormat="1" ht="23.1" customHeight="1">
      <c r="A147" s="409"/>
      <c r="B147" s="409"/>
      <c r="C147" s="410"/>
      <c r="D147" s="410"/>
      <c r="E147" s="410"/>
      <c r="F147" s="410"/>
      <c r="G147" s="410"/>
      <c r="H147" s="410"/>
      <c r="I147" s="410"/>
      <c r="J147" s="410"/>
      <c r="K147" s="410"/>
      <c r="L147" s="410"/>
      <c r="M147" s="410"/>
      <c r="N147" s="410"/>
      <c r="O147" s="410"/>
      <c r="P147" s="410"/>
      <c r="Q147" s="410"/>
      <c r="R147" s="410"/>
      <c r="S147" s="410"/>
      <c r="T147" s="410"/>
      <c r="U147" s="410"/>
      <c r="V147" s="410"/>
      <c r="W147" s="353"/>
    </row>
    <row r="148" spans="1:23" s="354" customFormat="1" ht="23.1" customHeight="1">
      <c r="A148" s="409"/>
      <c r="B148" s="409"/>
      <c r="C148" s="410"/>
      <c r="D148" s="410"/>
      <c r="E148" s="410"/>
      <c r="F148" s="410"/>
      <c r="G148" s="410"/>
      <c r="H148" s="410"/>
      <c r="I148" s="410"/>
      <c r="J148" s="410"/>
      <c r="K148" s="410"/>
      <c r="L148" s="410"/>
      <c r="M148" s="410"/>
      <c r="N148" s="410"/>
      <c r="O148" s="410"/>
      <c r="P148" s="410"/>
      <c r="Q148" s="410"/>
      <c r="R148" s="410"/>
      <c r="S148" s="410"/>
      <c r="T148" s="410"/>
      <c r="U148" s="410"/>
      <c r="V148" s="410"/>
      <c r="W148" s="353"/>
    </row>
    <row r="149" spans="1:23" s="354" customFormat="1" ht="23.1" customHeight="1">
      <c r="A149" s="409"/>
      <c r="B149" s="409"/>
      <c r="C149" s="410"/>
      <c r="D149" s="410"/>
      <c r="E149" s="410"/>
      <c r="F149" s="410"/>
      <c r="G149" s="410"/>
      <c r="H149" s="410"/>
      <c r="I149" s="410"/>
      <c r="J149" s="410"/>
      <c r="K149" s="410"/>
      <c r="L149" s="410"/>
      <c r="M149" s="410"/>
      <c r="N149" s="410"/>
      <c r="O149" s="410"/>
      <c r="P149" s="410"/>
      <c r="Q149" s="410"/>
      <c r="R149" s="410"/>
      <c r="S149" s="410"/>
      <c r="T149" s="410"/>
      <c r="U149" s="410"/>
      <c r="V149" s="410"/>
      <c r="W149" s="353"/>
    </row>
    <row r="150" spans="1:23" s="354" customFormat="1" ht="23.1" customHeight="1">
      <c r="A150" s="409"/>
      <c r="B150" s="409"/>
      <c r="C150" s="410"/>
      <c r="D150" s="410"/>
      <c r="E150" s="410"/>
      <c r="F150" s="410"/>
      <c r="G150" s="410"/>
      <c r="H150" s="410"/>
      <c r="I150" s="410"/>
      <c r="J150" s="410"/>
      <c r="K150" s="410"/>
      <c r="L150" s="410"/>
      <c r="M150" s="410"/>
      <c r="N150" s="410"/>
      <c r="O150" s="410"/>
      <c r="P150" s="410"/>
      <c r="Q150" s="410"/>
      <c r="R150" s="410"/>
      <c r="S150" s="410"/>
      <c r="T150" s="410"/>
      <c r="U150" s="410"/>
      <c r="V150" s="410"/>
      <c r="W150" s="353"/>
    </row>
    <row r="151" spans="1:23" s="354" customFormat="1" ht="23.1" customHeight="1">
      <c r="A151" s="409"/>
      <c r="B151" s="409"/>
      <c r="C151" s="410"/>
      <c r="D151" s="410"/>
      <c r="E151" s="410"/>
      <c r="F151" s="410"/>
      <c r="G151" s="410"/>
      <c r="H151" s="410"/>
      <c r="I151" s="410"/>
      <c r="J151" s="410"/>
      <c r="K151" s="410"/>
      <c r="L151" s="410"/>
      <c r="M151" s="410"/>
      <c r="N151" s="410"/>
      <c r="O151" s="410"/>
      <c r="P151" s="410"/>
      <c r="Q151" s="410"/>
      <c r="R151" s="410"/>
      <c r="S151" s="410"/>
      <c r="T151" s="410"/>
      <c r="U151" s="410"/>
      <c r="V151" s="410"/>
      <c r="W151" s="353"/>
    </row>
    <row r="152" spans="1:23" s="354" customFormat="1" ht="23.1" customHeight="1">
      <c r="A152" s="409"/>
      <c r="B152" s="409"/>
      <c r="C152" s="410"/>
      <c r="D152" s="410"/>
      <c r="E152" s="410"/>
      <c r="F152" s="410"/>
      <c r="G152" s="410"/>
      <c r="H152" s="410"/>
      <c r="I152" s="410"/>
      <c r="J152" s="410"/>
      <c r="K152" s="410"/>
      <c r="L152" s="410"/>
      <c r="M152" s="410"/>
      <c r="N152" s="410"/>
      <c r="O152" s="410"/>
      <c r="P152" s="410"/>
      <c r="Q152" s="410"/>
      <c r="R152" s="410"/>
      <c r="S152" s="410"/>
      <c r="T152" s="410"/>
      <c r="U152" s="410"/>
      <c r="V152" s="410"/>
      <c r="W152" s="353"/>
    </row>
    <row r="153" spans="1:23" s="354" customFormat="1" ht="23.1" customHeight="1">
      <c r="A153" s="409"/>
      <c r="B153" s="409"/>
      <c r="C153" s="410"/>
      <c r="D153" s="410"/>
      <c r="E153" s="410"/>
      <c r="F153" s="410"/>
      <c r="G153" s="410"/>
      <c r="H153" s="410"/>
      <c r="I153" s="410"/>
      <c r="J153" s="410"/>
      <c r="K153" s="410"/>
      <c r="L153" s="410"/>
      <c r="M153" s="410"/>
      <c r="N153" s="410"/>
      <c r="O153" s="410"/>
      <c r="P153" s="410"/>
      <c r="Q153" s="410"/>
      <c r="R153" s="410"/>
      <c r="S153" s="410"/>
      <c r="T153" s="410"/>
      <c r="U153" s="410"/>
      <c r="V153" s="410"/>
      <c r="W153" s="353"/>
    </row>
    <row r="154" spans="1:23" s="354" customFormat="1" ht="23.1" customHeight="1">
      <c r="A154" s="409"/>
      <c r="B154" s="409"/>
      <c r="C154" s="410"/>
      <c r="D154" s="410"/>
      <c r="E154" s="410"/>
      <c r="F154" s="410"/>
      <c r="G154" s="410"/>
      <c r="H154" s="410"/>
      <c r="I154" s="410"/>
      <c r="J154" s="410"/>
      <c r="K154" s="410"/>
      <c r="L154" s="410"/>
      <c r="M154" s="410"/>
      <c r="N154" s="410"/>
      <c r="O154" s="410"/>
      <c r="P154" s="410"/>
      <c r="Q154" s="410"/>
      <c r="R154" s="410"/>
      <c r="S154" s="410"/>
      <c r="T154" s="410"/>
      <c r="U154" s="410"/>
      <c r="V154" s="410"/>
      <c r="W154" s="353"/>
    </row>
    <row r="155" spans="1:23" s="354" customFormat="1" ht="23.1" customHeight="1">
      <c r="A155" s="409"/>
      <c r="B155" s="409"/>
      <c r="C155" s="410"/>
      <c r="D155" s="410"/>
      <c r="E155" s="410"/>
      <c r="F155" s="410"/>
      <c r="G155" s="410"/>
      <c r="H155" s="410"/>
      <c r="I155" s="410"/>
      <c r="J155" s="410"/>
      <c r="K155" s="410"/>
      <c r="L155" s="410"/>
      <c r="M155" s="410"/>
      <c r="N155" s="410"/>
      <c r="O155" s="410"/>
      <c r="P155" s="410"/>
      <c r="Q155" s="410"/>
      <c r="R155" s="410"/>
      <c r="S155" s="410"/>
      <c r="T155" s="410"/>
      <c r="U155" s="410"/>
      <c r="V155" s="410"/>
      <c r="W155" s="353"/>
    </row>
    <row r="156" spans="1:23" s="354" customFormat="1" ht="23.1" customHeight="1">
      <c r="A156" s="409"/>
      <c r="B156" s="409"/>
      <c r="C156" s="410"/>
      <c r="D156" s="410"/>
      <c r="E156" s="410"/>
      <c r="F156" s="410"/>
      <c r="G156" s="410"/>
      <c r="H156" s="410"/>
      <c r="I156" s="410"/>
      <c r="J156" s="410"/>
      <c r="K156" s="410"/>
      <c r="L156" s="410"/>
      <c r="M156" s="410"/>
      <c r="N156" s="410"/>
      <c r="O156" s="410"/>
      <c r="P156" s="410"/>
      <c r="Q156" s="410"/>
      <c r="R156" s="410"/>
      <c r="S156" s="410"/>
      <c r="T156" s="410"/>
      <c r="U156" s="410"/>
      <c r="V156" s="410"/>
      <c r="W156" s="353"/>
    </row>
    <row r="157" spans="1:23" s="354" customFormat="1" ht="23.1" customHeight="1">
      <c r="A157" s="409"/>
      <c r="B157" s="409"/>
      <c r="C157" s="410"/>
      <c r="D157" s="410"/>
      <c r="E157" s="410"/>
      <c r="F157" s="410"/>
      <c r="G157" s="410"/>
      <c r="H157" s="410"/>
      <c r="I157" s="410"/>
      <c r="J157" s="410"/>
      <c r="K157" s="410"/>
      <c r="L157" s="410"/>
      <c r="M157" s="410"/>
      <c r="N157" s="410"/>
      <c r="O157" s="410"/>
      <c r="P157" s="410"/>
      <c r="Q157" s="410"/>
      <c r="R157" s="410"/>
      <c r="S157" s="410"/>
      <c r="T157" s="410"/>
      <c r="U157" s="410"/>
      <c r="V157" s="410"/>
      <c r="W157" s="353"/>
    </row>
    <row r="158" spans="1:23" s="354" customFormat="1" ht="23.1" customHeight="1">
      <c r="A158" s="409"/>
      <c r="B158" s="409"/>
      <c r="C158" s="410"/>
      <c r="D158" s="410"/>
      <c r="E158" s="410"/>
      <c r="F158" s="410"/>
      <c r="G158" s="410"/>
      <c r="H158" s="410"/>
      <c r="I158" s="410"/>
      <c r="J158" s="410"/>
      <c r="K158" s="410"/>
      <c r="L158" s="410"/>
      <c r="M158" s="410"/>
      <c r="N158" s="410"/>
      <c r="O158" s="410"/>
      <c r="P158" s="410"/>
      <c r="Q158" s="410"/>
      <c r="R158" s="410"/>
      <c r="S158" s="410"/>
      <c r="T158" s="410"/>
      <c r="U158" s="410"/>
      <c r="V158" s="410"/>
      <c r="W158" s="353"/>
    </row>
    <row r="159" spans="1:23" s="354" customFormat="1" ht="23.1" customHeight="1">
      <c r="A159" s="409"/>
      <c r="B159" s="409"/>
      <c r="C159" s="410"/>
      <c r="D159" s="410"/>
      <c r="E159" s="410"/>
      <c r="F159" s="410"/>
      <c r="G159" s="410"/>
      <c r="H159" s="410"/>
      <c r="I159" s="410"/>
      <c r="J159" s="410"/>
      <c r="K159" s="410"/>
      <c r="L159" s="410"/>
      <c r="M159" s="410"/>
      <c r="N159" s="410"/>
      <c r="O159" s="410"/>
      <c r="P159" s="410"/>
      <c r="Q159" s="410"/>
      <c r="R159" s="410"/>
      <c r="S159" s="410"/>
      <c r="T159" s="410"/>
      <c r="U159" s="410"/>
      <c r="V159" s="410"/>
      <c r="W159" s="353"/>
    </row>
    <row r="160" spans="1:23" s="354" customFormat="1" ht="23.1" customHeight="1">
      <c r="A160" s="409"/>
      <c r="B160" s="409"/>
      <c r="C160" s="410"/>
      <c r="D160" s="410"/>
      <c r="E160" s="410"/>
      <c r="F160" s="410"/>
      <c r="G160" s="410"/>
      <c r="H160" s="410"/>
      <c r="I160" s="410"/>
      <c r="J160" s="410"/>
      <c r="K160" s="410"/>
      <c r="L160" s="410"/>
      <c r="M160" s="410"/>
      <c r="N160" s="410"/>
      <c r="O160" s="410"/>
      <c r="P160" s="410"/>
      <c r="Q160" s="410"/>
      <c r="R160" s="410"/>
      <c r="S160" s="410"/>
      <c r="T160" s="410"/>
      <c r="U160" s="410"/>
      <c r="V160" s="410"/>
      <c r="W160" s="353"/>
    </row>
    <row r="161" spans="1:23" s="354" customFormat="1" ht="23.1" customHeight="1">
      <c r="A161" s="409"/>
      <c r="B161" s="409"/>
      <c r="C161" s="410"/>
      <c r="D161" s="410"/>
      <c r="E161" s="410"/>
      <c r="F161" s="410"/>
      <c r="G161" s="410"/>
      <c r="H161" s="410"/>
      <c r="I161" s="410"/>
      <c r="J161" s="410"/>
      <c r="K161" s="410"/>
      <c r="L161" s="410"/>
      <c r="M161" s="410"/>
      <c r="N161" s="410"/>
      <c r="O161" s="410"/>
      <c r="P161" s="410"/>
      <c r="Q161" s="410"/>
      <c r="R161" s="410"/>
      <c r="S161" s="410"/>
      <c r="T161" s="410"/>
      <c r="U161" s="410"/>
      <c r="V161" s="410"/>
      <c r="W161" s="353"/>
    </row>
    <row r="162" spans="1:23" s="354" customFormat="1" ht="23.1" customHeight="1">
      <c r="A162" s="409"/>
      <c r="B162" s="409"/>
      <c r="C162" s="410"/>
      <c r="D162" s="410"/>
      <c r="E162" s="410"/>
      <c r="F162" s="410"/>
      <c r="G162" s="410"/>
      <c r="H162" s="410"/>
      <c r="I162" s="410"/>
      <c r="J162" s="410"/>
      <c r="K162" s="410"/>
      <c r="L162" s="410"/>
      <c r="M162" s="410"/>
      <c r="N162" s="410"/>
      <c r="O162" s="410"/>
      <c r="P162" s="410"/>
      <c r="Q162" s="410"/>
      <c r="R162" s="410"/>
      <c r="S162" s="410"/>
      <c r="T162" s="410"/>
      <c r="U162" s="410"/>
      <c r="V162" s="410"/>
      <c r="W162" s="353"/>
    </row>
    <row r="163" spans="1:23" s="354" customFormat="1" ht="23.1" customHeight="1">
      <c r="A163" s="409"/>
      <c r="B163" s="409"/>
      <c r="C163" s="410"/>
      <c r="D163" s="410"/>
      <c r="E163" s="410"/>
      <c r="F163" s="410"/>
      <c r="G163" s="410"/>
      <c r="H163" s="410"/>
      <c r="I163" s="410"/>
      <c r="J163" s="410"/>
      <c r="K163" s="410"/>
      <c r="L163" s="410"/>
      <c r="M163" s="410"/>
      <c r="N163" s="410"/>
      <c r="O163" s="410"/>
      <c r="P163" s="410"/>
      <c r="Q163" s="410"/>
      <c r="R163" s="410"/>
      <c r="S163" s="410"/>
      <c r="T163" s="410"/>
      <c r="U163" s="410"/>
      <c r="V163" s="410"/>
      <c r="W163" s="353"/>
    </row>
    <row r="164" spans="1:23" s="354" customFormat="1" ht="23.1" customHeight="1">
      <c r="A164" s="409"/>
      <c r="B164" s="409"/>
      <c r="C164" s="410"/>
      <c r="D164" s="410"/>
      <c r="E164" s="410"/>
      <c r="F164" s="410"/>
      <c r="G164" s="410"/>
      <c r="H164" s="410"/>
      <c r="I164" s="410"/>
      <c r="J164" s="410"/>
      <c r="K164" s="410"/>
      <c r="L164" s="410"/>
      <c r="M164" s="410"/>
      <c r="N164" s="410"/>
      <c r="O164" s="410"/>
      <c r="P164" s="410"/>
      <c r="Q164" s="410"/>
      <c r="R164" s="410"/>
      <c r="S164" s="410"/>
      <c r="T164" s="410"/>
      <c r="U164" s="410"/>
      <c r="V164" s="410"/>
      <c r="W164" s="353"/>
    </row>
    <row r="165" spans="1:23" s="354" customFormat="1" ht="23.1" customHeight="1">
      <c r="A165" s="409"/>
      <c r="B165" s="409"/>
      <c r="C165" s="410"/>
      <c r="D165" s="410"/>
      <c r="E165" s="410"/>
      <c r="F165" s="410"/>
      <c r="G165" s="410"/>
      <c r="H165" s="410"/>
      <c r="I165" s="410"/>
      <c r="J165" s="410"/>
      <c r="K165" s="410"/>
      <c r="L165" s="410"/>
      <c r="M165" s="410"/>
      <c r="N165" s="410"/>
      <c r="O165" s="410"/>
      <c r="P165" s="410"/>
      <c r="Q165" s="410"/>
      <c r="R165" s="410"/>
      <c r="S165" s="410"/>
      <c r="T165" s="410"/>
      <c r="U165" s="410"/>
      <c r="V165" s="410"/>
      <c r="W165" s="353"/>
    </row>
    <row r="166" spans="1:23" s="354" customFormat="1" ht="23.1" customHeight="1">
      <c r="A166" s="409"/>
      <c r="B166" s="409"/>
      <c r="C166" s="410"/>
      <c r="D166" s="410"/>
      <c r="E166" s="410"/>
      <c r="F166" s="410"/>
      <c r="G166" s="410"/>
      <c r="H166" s="410"/>
      <c r="I166" s="410"/>
      <c r="J166" s="410"/>
      <c r="K166" s="410"/>
      <c r="L166" s="410"/>
      <c r="M166" s="410"/>
      <c r="N166" s="410"/>
      <c r="O166" s="410"/>
      <c r="P166" s="410"/>
      <c r="Q166" s="410"/>
      <c r="R166" s="410"/>
      <c r="S166" s="410"/>
      <c r="T166" s="410"/>
      <c r="U166" s="410"/>
      <c r="V166" s="410"/>
      <c r="W166" s="353"/>
    </row>
    <row r="167" spans="1:23" s="354" customFormat="1" ht="23.1" customHeight="1">
      <c r="A167" s="409"/>
      <c r="B167" s="409"/>
      <c r="C167" s="410"/>
      <c r="D167" s="410"/>
      <c r="E167" s="410"/>
      <c r="F167" s="410"/>
      <c r="G167" s="410"/>
      <c r="H167" s="410"/>
      <c r="I167" s="410"/>
      <c r="J167" s="410"/>
      <c r="K167" s="410"/>
      <c r="L167" s="410"/>
      <c r="M167" s="410"/>
      <c r="N167" s="410"/>
      <c r="O167" s="410"/>
      <c r="P167" s="410"/>
      <c r="Q167" s="410"/>
      <c r="R167" s="410"/>
      <c r="S167" s="410"/>
      <c r="T167" s="410"/>
      <c r="U167" s="410"/>
      <c r="V167" s="410"/>
      <c r="W167" s="353"/>
    </row>
    <row r="168" spans="1:23" s="354" customFormat="1" ht="23.1" customHeight="1">
      <c r="A168" s="409"/>
      <c r="B168" s="409"/>
      <c r="C168" s="410"/>
      <c r="D168" s="410"/>
      <c r="E168" s="410"/>
      <c r="F168" s="410"/>
      <c r="G168" s="410"/>
      <c r="H168" s="410"/>
      <c r="I168" s="410"/>
      <c r="J168" s="410"/>
      <c r="K168" s="410"/>
      <c r="L168" s="410"/>
      <c r="M168" s="410"/>
      <c r="N168" s="410"/>
      <c r="O168" s="410"/>
      <c r="P168" s="410"/>
      <c r="Q168" s="410"/>
      <c r="R168" s="410"/>
      <c r="S168" s="410"/>
      <c r="T168" s="410"/>
      <c r="U168" s="410"/>
      <c r="V168" s="410"/>
      <c r="W168" s="353"/>
    </row>
    <row r="169" spans="1:23" s="354" customFormat="1" ht="23.1" customHeight="1">
      <c r="A169" s="409"/>
      <c r="B169" s="409"/>
      <c r="C169" s="410"/>
      <c r="D169" s="410"/>
      <c r="E169" s="410"/>
      <c r="F169" s="410"/>
      <c r="G169" s="410"/>
      <c r="H169" s="410"/>
      <c r="I169" s="410"/>
      <c r="J169" s="410"/>
      <c r="K169" s="410"/>
      <c r="L169" s="410"/>
      <c r="M169" s="410"/>
      <c r="N169" s="410"/>
      <c r="O169" s="410"/>
      <c r="P169" s="410"/>
      <c r="Q169" s="410"/>
      <c r="R169" s="410"/>
      <c r="S169" s="410"/>
      <c r="T169" s="410"/>
      <c r="U169" s="410"/>
      <c r="V169" s="410"/>
      <c r="W169" s="353"/>
    </row>
    <row r="170" spans="1:23" s="354" customFormat="1" ht="23.1" customHeight="1">
      <c r="A170" s="409"/>
      <c r="B170" s="409"/>
      <c r="C170" s="410"/>
      <c r="D170" s="410"/>
      <c r="E170" s="410"/>
      <c r="F170" s="410"/>
      <c r="G170" s="410"/>
      <c r="H170" s="410"/>
      <c r="I170" s="410"/>
      <c r="J170" s="410"/>
      <c r="K170" s="410"/>
      <c r="L170" s="410"/>
      <c r="M170" s="410"/>
      <c r="N170" s="410"/>
      <c r="O170" s="410"/>
      <c r="P170" s="410"/>
      <c r="Q170" s="410"/>
      <c r="R170" s="410"/>
      <c r="S170" s="410"/>
      <c r="T170" s="410"/>
      <c r="U170" s="410"/>
      <c r="V170" s="410"/>
      <c r="W170" s="353"/>
    </row>
    <row r="171" spans="1:23" s="354" customFormat="1" ht="23.1" customHeight="1">
      <c r="A171" s="409"/>
      <c r="B171" s="409"/>
      <c r="C171" s="410"/>
      <c r="D171" s="410"/>
      <c r="E171" s="410"/>
      <c r="F171" s="410"/>
      <c r="G171" s="410"/>
      <c r="H171" s="410"/>
      <c r="I171" s="410"/>
      <c r="J171" s="410"/>
      <c r="K171" s="410"/>
      <c r="L171" s="410"/>
      <c r="M171" s="410"/>
      <c r="N171" s="410"/>
      <c r="O171" s="410"/>
      <c r="P171" s="410"/>
      <c r="Q171" s="410"/>
      <c r="R171" s="410"/>
      <c r="S171" s="410"/>
      <c r="T171" s="410"/>
      <c r="U171" s="410"/>
      <c r="V171" s="410"/>
      <c r="W171" s="353"/>
    </row>
    <row r="172" spans="1:23" s="354" customFormat="1" ht="23.1" customHeight="1">
      <c r="A172" s="409"/>
      <c r="B172" s="409"/>
      <c r="C172" s="410"/>
      <c r="D172" s="410"/>
      <c r="E172" s="410"/>
      <c r="F172" s="410"/>
      <c r="G172" s="410"/>
      <c r="H172" s="410"/>
      <c r="I172" s="410"/>
      <c r="J172" s="410"/>
      <c r="K172" s="410"/>
      <c r="L172" s="410"/>
      <c r="M172" s="410"/>
      <c r="N172" s="410"/>
      <c r="O172" s="410"/>
      <c r="P172" s="410"/>
      <c r="Q172" s="410"/>
      <c r="R172" s="410"/>
      <c r="S172" s="410"/>
      <c r="T172" s="410"/>
      <c r="U172" s="410"/>
      <c r="V172" s="410"/>
      <c r="W172" s="353"/>
    </row>
    <row r="173" spans="1:23" s="352" customFormat="1" ht="20.100000000000001" customHeight="1">
      <c r="A173" s="409"/>
      <c r="B173" s="409"/>
      <c r="C173" s="410"/>
      <c r="D173" s="410"/>
      <c r="E173" s="410"/>
      <c r="F173" s="410"/>
      <c r="G173" s="410"/>
      <c r="H173" s="410"/>
      <c r="I173" s="410"/>
      <c r="J173" s="410"/>
      <c r="K173" s="410"/>
      <c r="L173" s="410"/>
      <c r="M173" s="410"/>
      <c r="N173" s="410"/>
      <c r="O173" s="410"/>
      <c r="P173" s="410"/>
      <c r="Q173" s="410"/>
      <c r="R173" s="410"/>
      <c r="S173" s="410"/>
      <c r="T173" s="410"/>
      <c r="U173" s="410"/>
      <c r="V173" s="410"/>
    </row>
    <row r="174" spans="1:23" s="352" customFormat="1" ht="9.9499999999999993" customHeight="1">
      <c r="A174" s="409"/>
      <c r="B174" s="409"/>
      <c r="C174" s="410"/>
      <c r="D174" s="410"/>
      <c r="E174" s="410"/>
      <c r="F174" s="410"/>
      <c r="G174" s="410"/>
      <c r="H174" s="410"/>
      <c r="I174" s="410"/>
      <c r="J174" s="410"/>
      <c r="K174" s="410"/>
      <c r="L174" s="410"/>
      <c r="M174" s="410"/>
      <c r="N174" s="410"/>
      <c r="O174" s="410"/>
      <c r="P174" s="410"/>
      <c r="Q174" s="410"/>
      <c r="R174" s="410"/>
      <c r="S174" s="410"/>
      <c r="T174" s="410"/>
      <c r="U174" s="410"/>
      <c r="V174" s="410"/>
    </row>
    <row r="175" spans="1:23" s="354" customFormat="1" ht="27.95" customHeight="1">
      <c r="A175" s="409"/>
      <c r="B175" s="409"/>
      <c r="C175" s="410"/>
      <c r="D175" s="410"/>
      <c r="E175" s="410"/>
      <c r="F175" s="410"/>
      <c r="G175" s="410"/>
      <c r="H175" s="410"/>
      <c r="I175" s="410"/>
      <c r="J175" s="410"/>
      <c r="K175" s="410"/>
      <c r="L175" s="410"/>
      <c r="M175" s="410"/>
      <c r="N175" s="410"/>
      <c r="O175" s="410"/>
      <c r="P175" s="410"/>
      <c r="Q175" s="410"/>
      <c r="R175" s="410"/>
      <c r="S175" s="410"/>
      <c r="T175" s="410"/>
      <c r="U175" s="410"/>
      <c r="V175" s="410"/>
      <c r="W175" s="353"/>
    </row>
    <row r="176" spans="1:23" s="354" customFormat="1" ht="27.95" customHeight="1">
      <c r="A176" s="409"/>
      <c r="B176" s="409"/>
      <c r="C176" s="410"/>
      <c r="D176" s="410"/>
      <c r="E176" s="410"/>
      <c r="F176" s="410"/>
      <c r="G176" s="410"/>
      <c r="H176" s="410"/>
      <c r="I176" s="410"/>
      <c r="J176" s="410"/>
      <c r="K176" s="410"/>
      <c r="L176" s="410"/>
      <c r="M176" s="410"/>
      <c r="N176" s="410"/>
      <c r="O176" s="410"/>
      <c r="P176" s="410"/>
      <c r="Q176" s="410"/>
      <c r="R176" s="410"/>
      <c r="S176" s="410"/>
      <c r="T176" s="410"/>
      <c r="U176" s="410"/>
      <c r="V176" s="410"/>
      <c r="W176" s="353"/>
    </row>
    <row r="177" spans="1:23" s="354" customFormat="1" ht="23.1" customHeight="1">
      <c r="A177" s="409"/>
      <c r="B177" s="409"/>
      <c r="C177" s="410"/>
      <c r="D177" s="410"/>
      <c r="E177" s="410"/>
      <c r="F177" s="410"/>
      <c r="G177" s="410"/>
      <c r="H177" s="410"/>
      <c r="I177" s="410"/>
      <c r="J177" s="410"/>
      <c r="K177" s="410"/>
      <c r="L177" s="410"/>
      <c r="M177" s="410"/>
      <c r="N177" s="410"/>
      <c r="O177" s="410"/>
      <c r="P177" s="410"/>
      <c r="Q177" s="410"/>
      <c r="R177" s="410"/>
      <c r="S177" s="410"/>
      <c r="T177" s="410"/>
      <c r="U177" s="410"/>
      <c r="V177" s="410"/>
      <c r="W177" s="353"/>
    </row>
    <row r="178" spans="1:23" s="354" customFormat="1" ht="23.1" customHeight="1">
      <c r="A178" s="409"/>
      <c r="B178" s="409"/>
      <c r="C178" s="410"/>
      <c r="D178" s="410"/>
      <c r="E178" s="410"/>
      <c r="F178" s="410"/>
      <c r="G178" s="410"/>
      <c r="H178" s="410"/>
      <c r="I178" s="410"/>
      <c r="J178" s="410"/>
      <c r="K178" s="410"/>
      <c r="L178" s="410"/>
      <c r="M178" s="410"/>
      <c r="N178" s="410"/>
      <c r="O178" s="410"/>
      <c r="P178" s="410"/>
      <c r="Q178" s="410"/>
      <c r="R178" s="410"/>
      <c r="S178" s="410"/>
      <c r="T178" s="410"/>
      <c r="U178" s="410"/>
      <c r="V178" s="410"/>
      <c r="W178" s="353"/>
    </row>
    <row r="179" spans="1:23" s="354" customFormat="1" ht="23.1" customHeight="1">
      <c r="A179" s="409"/>
      <c r="B179" s="409"/>
      <c r="C179" s="410"/>
      <c r="D179" s="410"/>
      <c r="E179" s="410"/>
      <c r="F179" s="410"/>
      <c r="G179" s="410"/>
      <c r="H179" s="410"/>
      <c r="I179" s="410"/>
      <c r="J179" s="410"/>
      <c r="K179" s="410"/>
      <c r="L179" s="410"/>
      <c r="M179" s="410"/>
      <c r="N179" s="410"/>
      <c r="O179" s="410"/>
      <c r="P179" s="410"/>
      <c r="Q179" s="410"/>
      <c r="R179" s="410"/>
      <c r="S179" s="410"/>
      <c r="T179" s="410"/>
      <c r="U179" s="410"/>
      <c r="V179" s="410"/>
      <c r="W179" s="353"/>
    </row>
    <row r="180" spans="1:23" s="354" customFormat="1" ht="23.1" customHeight="1">
      <c r="A180" s="409"/>
      <c r="B180" s="409"/>
      <c r="C180" s="410"/>
      <c r="D180" s="410"/>
      <c r="E180" s="410"/>
      <c r="F180" s="410"/>
      <c r="G180" s="410"/>
      <c r="H180" s="410"/>
      <c r="I180" s="410"/>
      <c r="J180" s="410"/>
      <c r="K180" s="410"/>
      <c r="L180" s="410"/>
      <c r="M180" s="410"/>
      <c r="N180" s="410"/>
      <c r="O180" s="410"/>
      <c r="P180" s="410"/>
      <c r="Q180" s="410"/>
      <c r="R180" s="410"/>
      <c r="S180" s="410"/>
      <c r="T180" s="410"/>
      <c r="U180" s="410"/>
      <c r="V180" s="410"/>
      <c r="W180" s="353"/>
    </row>
    <row r="181" spans="1:23" s="354" customFormat="1" ht="23.1" customHeight="1">
      <c r="A181" s="409"/>
      <c r="B181" s="409"/>
      <c r="C181" s="410"/>
      <c r="D181" s="410"/>
      <c r="E181" s="410"/>
      <c r="F181" s="410"/>
      <c r="G181" s="410"/>
      <c r="H181" s="410"/>
      <c r="I181" s="410"/>
      <c r="J181" s="410"/>
      <c r="K181" s="410"/>
      <c r="L181" s="410"/>
      <c r="M181" s="410"/>
      <c r="N181" s="410"/>
      <c r="O181" s="410"/>
      <c r="P181" s="410"/>
      <c r="Q181" s="410"/>
      <c r="R181" s="410"/>
      <c r="S181" s="410"/>
      <c r="T181" s="410"/>
      <c r="U181" s="410"/>
      <c r="V181" s="410"/>
      <c r="W181" s="353"/>
    </row>
    <row r="182" spans="1:23" s="354" customFormat="1" ht="23.1" customHeight="1">
      <c r="A182" s="409"/>
      <c r="B182" s="409"/>
      <c r="C182" s="410"/>
      <c r="D182" s="410"/>
      <c r="E182" s="410"/>
      <c r="F182" s="410"/>
      <c r="G182" s="410"/>
      <c r="H182" s="410"/>
      <c r="I182" s="410"/>
      <c r="J182" s="410"/>
      <c r="K182" s="410"/>
      <c r="L182" s="410"/>
      <c r="M182" s="410"/>
      <c r="N182" s="410"/>
      <c r="O182" s="410"/>
      <c r="P182" s="410"/>
      <c r="Q182" s="410"/>
      <c r="R182" s="410"/>
      <c r="S182" s="410"/>
      <c r="T182" s="410"/>
      <c r="U182" s="410"/>
      <c r="V182" s="410"/>
      <c r="W182" s="353"/>
    </row>
    <row r="183" spans="1:23" s="354" customFormat="1" ht="23.1" customHeight="1">
      <c r="A183" s="409"/>
      <c r="B183" s="409"/>
      <c r="C183" s="410"/>
      <c r="D183" s="410"/>
      <c r="E183" s="410"/>
      <c r="F183" s="410"/>
      <c r="G183" s="410"/>
      <c r="H183" s="410"/>
      <c r="I183" s="410"/>
      <c r="J183" s="410"/>
      <c r="K183" s="410"/>
      <c r="L183" s="410"/>
      <c r="M183" s="410"/>
      <c r="N183" s="410"/>
      <c r="O183" s="410"/>
      <c r="P183" s="410"/>
      <c r="Q183" s="410"/>
      <c r="R183" s="410"/>
      <c r="S183" s="410"/>
      <c r="T183" s="410"/>
      <c r="U183" s="410"/>
      <c r="V183" s="410"/>
      <c r="W183" s="353"/>
    </row>
    <row r="184" spans="1:23" s="354" customFormat="1" ht="23.1" customHeight="1">
      <c r="A184" s="409"/>
      <c r="B184" s="409"/>
      <c r="C184" s="410"/>
      <c r="D184" s="410"/>
      <c r="E184" s="410"/>
      <c r="F184" s="410"/>
      <c r="G184" s="410"/>
      <c r="H184" s="410"/>
      <c r="I184" s="410"/>
      <c r="J184" s="410"/>
      <c r="K184" s="410"/>
      <c r="L184" s="410"/>
      <c r="M184" s="410"/>
      <c r="N184" s="410"/>
      <c r="O184" s="410"/>
      <c r="P184" s="410"/>
      <c r="Q184" s="410"/>
      <c r="R184" s="410"/>
      <c r="S184" s="410"/>
      <c r="T184" s="410"/>
      <c r="U184" s="410"/>
      <c r="V184" s="410"/>
      <c r="W184" s="353"/>
    </row>
    <row r="185" spans="1:23" s="354" customFormat="1" ht="23.1" customHeight="1">
      <c r="A185" s="409"/>
      <c r="B185" s="409"/>
      <c r="C185" s="410"/>
      <c r="D185" s="410"/>
      <c r="E185" s="410"/>
      <c r="F185" s="410"/>
      <c r="G185" s="410"/>
      <c r="H185" s="410"/>
      <c r="I185" s="410"/>
      <c r="J185" s="410"/>
      <c r="K185" s="410"/>
      <c r="L185" s="410"/>
      <c r="M185" s="410"/>
      <c r="N185" s="410"/>
      <c r="O185" s="410"/>
      <c r="P185" s="410"/>
      <c r="Q185" s="410"/>
      <c r="R185" s="410"/>
      <c r="S185" s="410"/>
      <c r="T185" s="410"/>
      <c r="U185" s="410"/>
      <c r="V185" s="410"/>
      <c r="W185" s="353"/>
    </row>
    <row r="186" spans="1:23" s="354" customFormat="1" ht="23.1" customHeight="1">
      <c r="A186" s="409"/>
      <c r="B186" s="409"/>
      <c r="C186" s="410"/>
      <c r="D186" s="410"/>
      <c r="E186" s="410"/>
      <c r="F186" s="410"/>
      <c r="G186" s="410"/>
      <c r="H186" s="410"/>
      <c r="I186" s="410"/>
      <c r="J186" s="410"/>
      <c r="K186" s="410"/>
      <c r="L186" s="410"/>
      <c r="M186" s="410"/>
      <c r="N186" s="410"/>
      <c r="O186" s="410"/>
      <c r="P186" s="410"/>
      <c r="Q186" s="410"/>
      <c r="R186" s="410"/>
      <c r="S186" s="410"/>
      <c r="T186" s="410"/>
      <c r="U186" s="410"/>
      <c r="V186" s="410"/>
      <c r="W186" s="353"/>
    </row>
    <row r="187" spans="1:23" s="354" customFormat="1" ht="23.1" customHeight="1">
      <c r="A187" s="409"/>
      <c r="B187" s="409"/>
      <c r="C187" s="410"/>
      <c r="D187" s="410"/>
      <c r="E187" s="410"/>
      <c r="F187" s="410"/>
      <c r="G187" s="410"/>
      <c r="H187" s="410"/>
      <c r="I187" s="410"/>
      <c r="J187" s="410"/>
      <c r="K187" s="410"/>
      <c r="L187" s="410"/>
      <c r="M187" s="410"/>
      <c r="N187" s="410"/>
      <c r="O187" s="410"/>
      <c r="P187" s="410"/>
      <c r="Q187" s="410"/>
      <c r="R187" s="410"/>
      <c r="S187" s="410"/>
      <c r="T187" s="410"/>
      <c r="U187" s="410"/>
      <c r="V187" s="410"/>
      <c r="W187" s="353"/>
    </row>
    <row r="188" spans="1:23" s="354" customFormat="1" ht="23.1" customHeight="1">
      <c r="A188" s="409"/>
      <c r="B188" s="409"/>
      <c r="C188" s="410"/>
      <c r="D188" s="410"/>
      <c r="E188" s="410"/>
      <c r="F188" s="410"/>
      <c r="G188" s="410"/>
      <c r="H188" s="410"/>
      <c r="I188" s="410"/>
      <c r="J188" s="410"/>
      <c r="K188" s="410"/>
      <c r="L188" s="410"/>
      <c r="M188" s="410"/>
      <c r="N188" s="410"/>
      <c r="O188" s="410"/>
      <c r="P188" s="410"/>
      <c r="Q188" s="410"/>
      <c r="R188" s="410"/>
      <c r="S188" s="410"/>
      <c r="T188" s="410"/>
      <c r="U188" s="410"/>
      <c r="V188" s="410"/>
      <c r="W188" s="353"/>
    </row>
    <row r="189" spans="1:23" s="354" customFormat="1" ht="23.1" customHeight="1">
      <c r="A189" s="409"/>
      <c r="B189" s="409"/>
      <c r="C189" s="410"/>
      <c r="D189" s="410"/>
      <c r="E189" s="410"/>
      <c r="F189" s="410"/>
      <c r="G189" s="410"/>
      <c r="H189" s="410"/>
      <c r="I189" s="410"/>
      <c r="J189" s="410"/>
      <c r="K189" s="410"/>
      <c r="L189" s="410"/>
      <c r="M189" s="410"/>
      <c r="N189" s="410"/>
      <c r="O189" s="410"/>
      <c r="P189" s="410"/>
      <c r="Q189" s="410"/>
      <c r="R189" s="410"/>
      <c r="S189" s="410"/>
      <c r="T189" s="410"/>
      <c r="U189" s="410"/>
      <c r="V189" s="410"/>
      <c r="W189" s="353"/>
    </row>
    <row r="190" spans="1:23" s="354" customFormat="1" ht="23.1" customHeight="1">
      <c r="A190" s="409"/>
      <c r="B190" s="409"/>
      <c r="C190" s="410"/>
      <c r="D190" s="410"/>
      <c r="E190" s="410"/>
      <c r="F190" s="410"/>
      <c r="G190" s="410"/>
      <c r="H190" s="410"/>
      <c r="I190" s="410"/>
      <c r="J190" s="410"/>
      <c r="K190" s="410"/>
      <c r="L190" s="410"/>
      <c r="M190" s="410"/>
      <c r="N190" s="410"/>
      <c r="O190" s="410"/>
      <c r="P190" s="410"/>
      <c r="Q190" s="410"/>
      <c r="R190" s="410"/>
      <c r="S190" s="410"/>
      <c r="T190" s="410"/>
      <c r="U190" s="410"/>
      <c r="V190" s="410"/>
      <c r="W190" s="353"/>
    </row>
    <row r="191" spans="1:23" s="354" customFormat="1" ht="23.1" customHeight="1">
      <c r="A191" s="409"/>
      <c r="B191" s="409"/>
      <c r="C191" s="410"/>
      <c r="D191" s="410"/>
      <c r="E191" s="410"/>
      <c r="F191" s="410"/>
      <c r="G191" s="410"/>
      <c r="H191" s="410"/>
      <c r="I191" s="410"/>
      <c r="J191" s="410"/>
      <c r="K191" s="410"/>
      <c r="L191" s="410"/>
      <c r="M191" s="410"/>
      <c r="N191" s="410"/>
      <c r="O191" s="410"/>
      <c r="P191" s="410"/>
      <c r="Q191" s="410"/>
      <c r="R191" s="410"/>
      <c r="S191" s="410"/>
      <c r="T191" s="410"/>
      <c r="U191" s="410"/>
      <c r="V191" s="410"/>
      <c r="W191" s="353"/>
    </row>
    <row r="192" spans="1:23" s="354" customFormat="1" ht="23.1" customHeight="1">
      <c r="A192" s="409"/>
      <c r="B192" s="409"/>
      <c r="C192" s="410"/>
      <c r="D192" s="410"/>
      <c r="E192" s="410"/>
      <c r="F192" s="410"/>
      <c r="G192" s="410"/>
      <c r="H192" s="410"/>
      <c r="I192" s="410"/>
      <c r="J192" s="410"/>
      <c r="K192" s="410"/>
      <c r="L192" s="410"/>
      <c r="M192" s="410"/>
      <c r="N192" s="410"/>
      <c r="O192" s="410"/>
      <c r="P192" s="410"/>
      <c r="Q192" s="410"/>
      <c r="R192" s="410"/>
      <c r="S192" s="410"/>
      <c r="T192" s="410"/>
      <c r="U192" s="410"/>
      <c r="V192" s="410"/>
      <c r="W192" s="353"/>
    </row>
    <row r="193" spans="1:23" s="354" customFormat="1" ht="23.1" customHeight="1">
      <c r="A193" s="409"/>
      <c r="B193" s="409"/>
      <c r="C193" s="410"/>
      <c r="D193" s="410"/>
      <c r="E193" s="410"/>
      <c r="F193" s="410"/>
      <c r="G193" s="410"/>
      <c r="H193" s="410"/>
      <c r="I193" s="410"/>
      <c r="J193" s="410"/>
      <c r="K193" s="410"/>
      <c r="L193" s="410"/>
      <c r="M193" s="410"/>
      <c r="N193" s="410"/>
      <c r="O193" s="410"/>
      <c r="P193" s="410"/>
      <c r="Q193" s="410"/>
      <c r="R193" s="410"/>
      <c r="S193" s="410"/>
      <c r="T193" s="410"/>
      <c r="U193" s="410"/>
      <c r="V193" s="410"/>
      <c r="W193" s="353"/>
    </row>
    <row r="194" spans="1:23" s="354" customFormat="1" ht="23.1" customHeight="1">
      <c r="A194" s="409"/>
      <c r="B194" s="409"/>
      <c r="C194" s="410"/>
      <c r="D194" s="410"/>
      <c r="E194" s="410"/>
      <c r="F194" s="410"/>
      <c r="G194" s="410"/>
      <c r="H194" s="410"/>
      <c r="I194" s="410"/>
      <c r="J194" s="410"/>
      <c r="K194" s="410"/>
      <c r="L194" s="410"/>
      <c r="M194" s="410"/>
      <c r="N194" s="410"/>
      <c r="O194" s="410"/>
      <c r="P194" s="410"/>
      <c r="Q194" s="410"/>
      <c r="R194" s="410"/>
      <c r="S194" s="410"/>
      <c r="T194" s="410"/>
      <c r="U194" s="410"/>
      <c r="V194" s="410"/>
      <c r="W194" s="353"/>
    </row>
    <row r="195" spans="1:23" s="354" customFormat="1" ht="23.1" customHeight="1">
      <c r="A195" s="409"/>
      <c r="B195" s="409"/>
      <c r="C195" s="410"/>
      <c r="D195" s="410"/>
      <c r="E195" s="410"/>
      <c r="F195" s="410"/>
      <c r="G195" s="410"/>
      <c r="H195" s="410"/>
      <c r="I195" s="410"/>
      <c r="J195" s="410"/>
      <c r="K195" s="410"/>
      <c r="L195" s="410"/>
      <c r="M195" s="410"/>
      <c r="N195" s="410"/>
      <c r="O195" s="410"/>
      <c r="P195" s="410"/>
      <c r="Q195" s="410"/>
      <c r="R195" s="410"/>
      <c r="S195" s="410"/>
      <c r="T195" s="410"/>
      <c r="U195" s="410"/>
      <c r="V195" s="410"/>
      <c r="W195" s="353"/>
    </row>
    <row r="196" spans="1:23" s="354" customFormat="1" ht="23.1" customHeight="1">
      <c r="A196" s="409"/>
      <c r="B196" s="409"/>
      <c r="C196" s="410"/>
      <c r="D196" s="410"/>
      <c r="E196" s="410"/>
      <c r="F196" s="410"/>
      <c r="G196" s="410"/>
      <c r="H196" s="410"/>
      <c r="I196" s="410"/>
      <c r="J196" s="410"/>
      <c r="K196" s="410"/>
      <c r="L196" s="410"/>
      <c r="M196" s="410"/>
      <c r="N196" s="410"/>
      <c r="O196" s="410"/>
      <c r="P196" s="410"/>
      <c r="Q196" s="410"/>
      <c r="R196" s="410"/>
      <c r="S196" s="410"/>
      <c r="T196" s="410"/>
      <c r="U196" s="410"/>
      <c r="V196" s="410"/>
      <c r="W196" s="353"/>
    </row>
    <row r="197" spans="1:23" s="354" customFormat="1" ht="23.1" customHeight="1">
      <c r="A197" s="409"/>
      <c r="B197" s="409"/>
      <c r="C197" s="410"/>
      <c r="D197" s="410"/>
      <c r="E197" s="410"/>
      <c r="F197" s="410"/>
      <c r="G197" s="410"/>
      <c r="H197" s="410"/>
      <c r="I197" s="410"/>
      <c r="J197" s="410"/>
      <c r="K197" s="410"/>
      <c r="L197" s="410"/>
      <c r="M197" s="410"/>
      <c r="N197" s="410"/>
      <c r="O197" s="410"/>
      <c r="P197" s="410"/>
      <c r="Q197" s="410"/>
      <c r="R197" s="410"/>
      <c r="S197" s="410"/>
      <c r="T197" s="410"/>
      <c r="U197" s="410"/>
      <c r="V197" s="410"/>
      <c r="W197" s="353"/>
    </row>
    <row r="198" spans="1:23" s="354" customFormat="1" ht="23.1" customHeight="1">
      <c r="A198" s="409"/>
      <c r="B198" s="409"/>
      <c r="C198" s="410"/>
      <c r="D198" s="410"/>
      <c r="E198" s="410"/>
      <c r="F198" s="410"/>
      <c r="G198" s="410"/>
      <c r="H198" s="410"/>
      <c r="I198" s="410"/>
      <c r="J198" s="410"/>
      <c r="K198" s="410"/>
      <c r="L198" s="410"/>
      <c r="M198" s="410"/>
      <c r="N198" s="410"/>
      <c r="O198" s="410"/>
      <c r="P198" s="410"/>
      <c r="Q198" s="410"/>
      <c r="R198" s="410"/>
      <c r="S198" s="410"/>
      <c r="T198" s="410"/>
      <c r="U198" s="410"/>
      <c r="V198" s="410"/>
      <c r="W198" s="353"/>
    </row>
    <row r="199" spans="1:23" s="354" customFormat="1" ht="23.1" customHeight="1">
      <c r="A199" s="409"/>
      <c r="B199" s="409"/>
      <c r="C199" s="410"/>
      <c r="D199" s="410"/>
      <c r="E199" s="410"/>
      <c r="F199" s="410"/>
      <c r="G199" s="410"/>
      <c r="H199" s="410"/>
      <c r="I199" s="410"/>
      <c r="J199" s="410"/>
      <c r="K199" s="410"/>
      <c r="L199" s="410"/>
      <c r="M199" s="410"/>
      <c r="N199" s="410"/>
      <c r="O199" s="410"/>
      <c r="P199" s="410"/>
      <c r="Q199" s="410"/>
      <c r="R199" s="410"/>
      <c r="S199" s="410"/>
      <c r="T199" s="410"/>
      <c r="U199" s="410"/>
      <c r="V199" s="410"/>
      <c r="W199" s="353"/>
    </row>
    <row r="200" spans="1:23" s="354" customFormat="1" ht="23.1" customHeight="1">
      <c r="A200" s="409"/>
      <c r="B200" s="409"/>
      <c r="C200" s="410"/>
      <c r="D200" s="410"/>
      <c r="E200" s="410"/>
      <c r="F200" s="410"/>
      <c r="G200" s="410"/>
      <c r="H200" s="410"/>
      <c r="I200" s="410"/>
      <c r="J200" s="410"/>
      <c r="K200" s="410"/>
      <c r="L200" s="410"/>
      <c r="M200" s="410"/>
      <c r="N200" s="410"/>
      <c r="O200" s="410"/>
      <c r="P200" s="410"/>
      <c r="Q200" s="410"/>
      <c r="R200" s="410"/>
      <c r="S200" s="410"/>
      <c r="T200" s="410"/>
      <c r="U200" s="410"/>
      <c r="V200" s="410"/>
      <c r="W200" s="353"/>
    </row>
    <row r="201" spans="1:23" s="354" customFormat="1" ht="23.1" customHeight="1">
      <c r="A201" s="409"/>
      <c r="B201" s="409"/>
      <c r="C201" s="410"/>
      <c r="D201" s="410"/>
      <c r="E201" s="410"/>
      <c r="F201" s="410"/>
      <c r="G201" s="410"/>
      <c r="H201" s="410"/>
      <c r="I201" s="410"/>
      <c r="J201" s="410"/>
      <c r="K201" s="410"/>
      <c r="L201" s="410"/>
      <c r="M201" s="410"/>
      <c r="N201" s="410"/>
      <c r="O201" s="410"/>
      <c r="P201" s="410"/>
      <c r="Q201" s="410"/>
      <c r="R201" s="410"/>
      <c r="S201" s="410"/>
      <c r="T201" s="410"/>
      <c r="U201" s="410"/>
      <c r="V201" s="410"/>
      <c r="W201" s="353"/>
    </row>
    <row r="202" spans="1:23" s="354" customFormat="1" ht="23.1" customHeight="1">
      <c r="A202" s="409"/>
      <c r="B202" s="409"/>
      <c r="C202" s="410"/>
      <c r="D202" s="410"/>
      <c r="E202" s="410"/>
      <c r="F202" s="410"/>
      <c r="G202" s="410"/>
      <c r="H202" s="410"/>
      <c r="I202" s="410"/>
      <c r="J202" s="410"/>
      <c r="K202" s="410"/>
      <c r="L202" s="410"/>
      <c r="M202" s="410"/>
      <c r="N202" s="410"/>
      <c r="O202" s="410"/>
      <c r="P202" s="410"/>
      <c r="Q202" s="410"/>
      <c r="R202" s="410"/>
      <c r="S202" s="410"/>
      <c r="T202" s="410"/>
      <c r="U202" s="410"/>
      <c r="V202" s="410"/>
      <c r="W202" s="353"/>
    </row>
    <row r="203" spans="1:23" s="352" customFormat="1" ht="20.100000000000001" customHeight="1">
      <c r="A203" s="409"/>
      <c r="B203" s="409"/>
      <c r="C203" s="410"/>
      <c r="D203" s="410"/>
      <c r="E203" s="410"/>
      <c r="F203" s="410"/>
      <c r="G203" s="410"/>
      <c r="H203" s="410"/>
      <c r="I203" s="410"/>
      <c r="J203" s="410"/>
      <c r="K203" s="410"/>
      <c r="L203" s="410"/>
      <c r="M203" s="410"/>
      <c r="N203" s="410"/>
      <c r="O203" s="410"/>
      <c r="P203" s="410"/>
      <c r="Q203" s="410"/>
      <c r="R203" s="410"/>
      <c r="S203" s="410"/>
      <c r="T203" s="410"/>
      <c r="U203" s="410"/>
      <c r="V203" s="410"/>
    </row>
    <row r="204" spans="1:23" s="352" customFormat="1" ht="9.9499999999999993" customHeight="1">
      <c r="A204" s="409"/>
      <c r="B204" s="409"/>
      <c r="C204" s="410"/>
      <c r="D204" s="410"/>
      <c r="E204" s="410"/>
      <c r="F204" s="410"/>
      <c r="G204" s="410"/>
      <c r="H204" s="410"/>
      <c r="I204" s="410"/>
      <c r="J204" s="410"/>
      <c r="K204" s="410"/>
      <c r="L204" s="410"/>
      <c r="M204" s="410"/>
      <c r="N204" s="410"/>
      <c r="O204" s="410"/>
      <c r="P204" s="410"/>
      <c r="Q204" s="410"/>
      <c r="R204" s="410"/>
      <c r="S204" s="410"/>
      <c r="T204" s="410"/>
      <c r="U204" s="410"/>
      <c r="V204" s="410"/>
    </row>
    <row r="205" spans="1:23" s="354" customFormat="1" ht="27.95" customHeight="1">
      <c r="A205" s="409"/>
      <c r="B205" s="409"/>
      <c r="C205" s="410"/>
      <c r="D205" s="410"/>
      <c r="E205" s="410"/>
      <c r="F205" s="410"/>
      <c r="G205" s="410"/>
      <c r="H205" s="410"/>
      <c r="I205" s="410"/>
      <c r="J205" s="410"/>
      <c r="K205" s="410"/>
      <c r="L205" s="410"/>
      <c r="M205" s="410"/>
      <c r="N205" s="410"/>
      <c r="O205" s="410"/>
      <c r="P205" s="410"/>
      <c r="Q205" s="410"/>
      <c r="R205" s="410"/>
      <c r="S205" s="410"/>
      <c r="T205" s="410"/>
      <c r="U205" s="410"/>
      <c r="V205" s="410"/>
      <c r="W205" s="353"/>
    </row>
    <row r="206" spans="1:23" s="354" customFormat="1" ht="27.95" customHeight="1">
      <c r="A206" s="409"/>
      <c r="B206" s="409"/>
      <c r="C206" s="410"/>
      <c r="D206" s="410"/>
      <c r="E206" s="410"/>
      <c r="F206" s="410"/>
      <c r="G206" s="410"/>
      <c r="H206" s="410"/>
      <c r="I206" s="410"/>
      <c r="J206" s="410"/>
      <c r="K206" s="410"/>
      <c r="L206" s="410"/>
      <c r="M206" s="410"/>
      <c r="N206" s="410"/>
      <c r="O206" s="410"/>
      <c r="P206" s="410"/>
      <c r="Q206" s="410"/>
      <c r="R206" s="410"/>
      <c r="S206" s="410"/>
      <c r="T206" s="410"/>
      <c r="U206" s="410"/>
      <c r="V206" s="410"/>
      <c r="W206" s="353"/>
    </row>
    <row r="207" spans="1:23" s="354" customFormat="1" ht="23.1" customHeight="1">
      <c r="A207" s="409"/>
      <c r="B207" s="409"/>
      <c r="C207" s="410"/>
      <c r="D207" s="410"/>
      <c r="E207" s="410"/>
      <c r="F207" s="410"/>
      <c r="G207" s="410"/>
      <c r="H207" s="410"/>
      <c r="I207" s="410"/>
      <c r="J207" s="410"/>
      <c r="K207" s="410"/>
      <c r="L207" s="410"/>
      <c r="M207" s="410"/>
      <c r="N207" s="410"/>
      <c r="O207" s="410"/>
      <c r="P207" s="410"/>
      <c r="Q207" s="410"/>
      <c r="R207" s="410"/>
      <c r="S207" s="410"/>
      <c r="T207" s="410"/>
      <c r="U207" s="410"/>
      <c r="V207" s="410"/>
      <c r="W207" s="353"/>
    </row>
    <row r="208" spans="1:23" s="354" customFormat="1" ht="23.1" customHeight="1">
      <c r="A208" s="409"/>
      <c r="B208" s="409"/>
      <c r="C208" s="410"/>
      <c r="D208" s="410"/>
      <c r="E208" s="410"/>
      <c r="F208" s="410"/>
      <c r="G208" s="410"/>
      <c r="H208" s="410"/>
      <c r="I208" s="410"/>
      <c r="J208" s="410"/>
      <c r="K208" s="410"/>
      <c r="L208" s="410"/>
      <c r="M208" s="410"/>
      <c r="N208" s="410"/>
      <c r="O208" s="410"/>
      <c r="P208" s="410"/>
      <c r="Q208" s="410"/>
      <c r="R208" s="410"/>
      <c r="S208" s="410"/>
      <c r="T208" s="410"/>
      <c r="U208" s="410"/>
      <c r="V208" s="410"/>
      <c r="W208" s="353"/>
    </row>
    <row r="209" spans="1:23" s="354" customFormat="1" ht="23.1" customHeight="1">
      <c r="A209" s="409"/>
      <c r="B209" s="409"/>
      <c r="C209" s="410"/>
      <c r="D209" s="410"/>
      <c r="E209" s="410"/>
      <c r="F209" s="410"/>
      <c r="G209" s="410"/>
      <c r="H209" s="410"/>
      <c r="I209" s="410"/>
      <c r="J209" s="410"/>
      <c r="K209" s="410"/>
      <c r="L209" s="410"/>
      <c r="M209" s="410"/>
      <c r="N209" s="410"/>
      <c r="O209" s="410"/>
      <c r="P209" s="410"/>
      <c r="Q209" s="410"/>
      <c r="R209" s="410"/>
      <c r="S209" s="410"/>
      <c r="T209" s="410"/>
      <c r="U209" s="410"/>
      <c r="V209" s="410"/>
      <c r="W209" s="353"/>
    </row>
    <row r="210" spans="1:23" s="354" customFormat="1" ht="23.1" customHeight="1">
      <c r="A210" s="409"/>
      <c r="B210" s="409"/>
      <c r="C210" s="410"/>
      <c r="D210" s="410"/>
      <c r="E210" s="410"/>
      <c r="F210" s="410"/>
      <c r="G210" s="410"/>
      <c r="H210" s="410"/>
      <c r="I210" s="410"/>
      <c r="J210" s="410"/>
      <c r="K210" s="410"/>
      <c r="L210" s="410"/>
      <c r="M210" s="410"/>
      <c r="N210" s="410"/>
      <c r="O210" s="410"/>
      <c r="P210" s="410"/>
      <c r="Q210" s="410"/>
      <c r="R210" s="410"/>
      <c r="S210" s="410"/>
      <c r="T210" s="410"/>
      <c r="U210" s="410"/>
      <c r="V210" s="410"/>
      <c r="W210" s="353"/>
    </row>
    <row r="211" spans="1:23" s="354" customFormat="1" ht="23.1" customHeight="1">
      <c r="A211" s="409"/>
      <c r="B211" s="409"/>
      <c r="C211" s="410"/>
      <c r="D211" s="410"/>
      <c r="E211" s="410"/>
      <c r="F211" s="410"/>
      <c r="G211" s="410"/>
      <c r="H211" s="410"/>
      <c r="I211" s="410"/>
      <c r="J211" s="410"/>
      <c r="K211" s="410"/>
      <c r="L211" s="410"/>
      <c r="M211" s="410"/>
      <c r="N211" s="410"/>
      <c r="O211" s="410"/>
      <c r="P211" s="410"/>
      <c r="Q211" s="410"/>
      <c r="R211" s="410"/>
      <c r="S211" s="410"/>
      <c r="T211" s="410"/>
      <c r="U211" s="410"/>
      <c r="V211" s="410"/>
      <c r="W211" s="353"/>
    </row>
    <row r="212" spans="1:23" s="354" customFormat="1" ht="23.1" customHeight="1">
      <c r="A212" s="409"/>
      <c r="B212" s="409"/>
      <c r="C212" s="410"/>
      <c r="D212" s="410"/>
      <c r="E212" s="410"/>
      <c r="F212" s="410"/>
      <c r="G212" s="410"/>
      <c r="H212" s="410"/>
      <c r="I212" s="410"/>
      <c r="J212" s="410"/>
      <c r="K212" s="410"/>
      <c r="L212" s="410"/>
      <c r="M212" s="410"/>
      <c r="N212" s="410"/>
      <c r="O212" s="410"/>
      <c r="P212" s="410"/>
      <c r="Q212" s="410"/>
      <c r="R212" s="410"/>
      <c r="S212" s="410"/>
      <c r="T212" s="410"/>
      <c r="U212" s="410"/>
      <c r="V212" s="410"/>
      <c r="W212" s="353"/>
    </row>
    <row r="213" spans="1:23" s="354" customFormat="1" ht="23.1" customHeight="1">
      <c r="A213" s="409"/>
      <c r="B213" s="409"/>
      <c r="C213" s="410"/>
      <c r="D213" s="410"/>
      <c r="E213" s="410"/>
      <c r="F213" s="410"/>
      <c r="G213" s="410"/>
      <c r="H213" s="410"/>
      <c r="I213" s="410"/>
      <c r="J213" s="410"/>
      <c r="K213" s="410"/>
      <c r="L213" s="410"/>
      <c r="M213" s="410"/>
      <c r="N213" s="410"/>
      <c r="O213" s="410"/>
      <c r="P213" s="410"/>
      <c r="Q213" s="410"/>
      <c r="R213" s="410"/>
      <c r="S213" s="410"/>
      <c r="T213" s="410"/>
      <c r="U213" s="410"/>
      <c r="V213" s="410"/>
      <c r="W213" s="353"/>
    </row>
    <row r="214" spans="1:23" s="354" customFormat="1" ht="23.1" customHeight="1">
      <c r="A214" s="409"/>
      <c r="B214" s="409"/>
      <c r="C214" s="410"/>
      <c r="D214" s="410"/>
      <c r="E214" s="410"/>
      <c r="F214" s="410"/>
      <c r="G214" s="410"/>
      <c r="H214" s="410"/>
      <c r="I214" s="410"/>
      <c r="J214" s="410"/>
      <c r="K214" s="410"/>
      <c r="L214" s="410"/>
      <c r="M214" s="410"/>
      <c r="N214" s="410"/>
      <c r="O214" s="410"/>
      <c r="P214" s="410"/>
      <c r="Q214" s="410"/>
      <c r="R214" s="410"/>
      <c r="S214" s="410"/>
      <c r="T214" s="410"/>
      <c r="U214" s="410"/>
      <c r="V214" s="410"/>
      <c r="W214" s="353"/>
    </row>
    <row r="215" spans="1:23" s="354" customFormat="1" ht="23.1" customHeight="1">
      <c r="A215" s="409"/>
      <c r="B215" s="409"/>
      <c r="C215" s="410"/>
      <c r="D215" s="410"/>
      <c r="E215" s="410"/>
      <c r="F215" s="410"/>
      <c r="G215" s="410"/>
      <c r="H215" s="410"/>
      <c r="I215" s="410"/>
      <c r="J215" s="410"/>
      <c r="K215" s="410"/>
      <c r="L215" s="410"/>
      <c r="M215" s="410"/>
      <c r="N215" s="410"/>
      <c r="O215" s="410"/>
      <c r="P215" s="410"/>
      <c r="Q215" s="410"/>
      <c r="R215" s="410"/>
      <c r="S215" s="410"/>
      <c r="T215" s="410"/>
      <c r="U215" s="410"/>
      <c r="V215" s="410"/>
      <c r="W215" s="353"/>
    </row>
    <row r="216" spans="1:23" s="354" customFormat="1" ht="23.1" customHeight="1">
      <c r="A216" s="409"/>
      <c r="B216" s="409"/>
      <c r="C216" s="410"/>
      <c r="D216" s="410"/>
      <c r="E216" s="410"/>
      <c r="F216" s="410"/>
      <c r="G216" s="410"/>
      <c r="H216" s="410"/>
      <c r="I216" s="410"/>
      <c r="J216" s="410"/>
      <c r="K216" s="410"/>
      <c r="L216" s="410"/>
      <c r="M216" s="410"/>
      <c r="N216" s="410"/>
      <c r="O216" s="410"/>
      <c r="P216" s="410"/>
      <c r="Q216" s="410"/>
      <c r="R216" s="410"/>
      <c r="S216" s="410"/>
      <c r="T216" s="410"/>
      <c r="U216" s="410"/>
      <c r="V216" s="410"/>
      <c r="W216" s="353"/>
    </row>
    <row r="217" spans="1:23" s="354" customFormat="1" ht="23.1" customHeight="1">
      <c r="A217" s="409"/>
      <c r="B217" s="409"/>
      <c r="C217" s="410"/>
      <c r="D217" s="410"/>
      <c r="E217" s="410"/>
      <c r="F217" s="410"/>
      <c r="G217" s="410"/>
      <c r="H217" s="410"/>
      <c r="I217" s="410"/>
      <c r="J217" s="410"/>
      <c r="K217" s="410"/>
      <c r="L217" s="410"/>
      <c r="M217" s="410"/>
      <c r="N217" s="410"/>
      <c r="O217" s="410"/>
      <c r="P217" s="410"/>
      <c r="Q217" s="410"/>
      <c r="R217" s="410"/>
      <c r="S217" s="410"/>
      <c r="T217" s="410"/>
      <c r="U217" s="410"/>
      <c r="V217" s="410"/>
      <c r="W217" s="353"/>
    </row>
    <row r="218" spans="1:23" s="354" customFormat="1" ht="23.1" customHeight="1">
      <c r="A218" s="409"/>
      <c r="B218" s="409"/>
      <c r="C218" s="410"/>
      <c r="D218" s="410"/>
      <c r="E218" s="410"/>
      <c r="F218" s="410"/>
      <c r="G218" s="410"/>
      <c r="H218" s="410"/>
      <c r="I218" s="410"/>
      <c r="J218" s="410"/>
      <c r="K218" s="410"/>
      <c r="L218" s="410"/>
      <c r="M218" s="410"/>
      <c r="N218" s="410"/>
      <c r="O218" s="410"/>
      <c r="P218" s="410"/>
      <c r="Q218" s="410"/>
      <c r="R218" s="410"/>
      <c r="S218" s="410"/>
      <c r="T218" s="410"/>
      <c r="U218" s="410"/>
      <c r="V218" s="410"/>
      <c r="W218" s="353"/>
    </row>
    <row r="219" spans="1:23" s="354" customFormat="1" ht="23.1" customHeight="1">
      <c r="A219" s="409"/>
      <c r="B219" s="409"/>
      <c r="C219" s="410"/>
      <c r="D219" s="410"/>
      <c r="E219" s="410"/>
      <c r="F219" s="410"/>
      <c r="G219" s="410"/>
      <c r="H219" s="410"/>
      <c r="I219" s="410"/>
      <c r="J219" s="410"/>
      <c r="K219" s="410"/>
      <c r="L219" s="410"/>
      <c r="M219" s="410"/>
      <c r="N219" s="410"/>
      <c r="O219" s="410"/>
      <c r="P219" s="410"/>
      <c r="Q219" s="410"/>
      <c r="R219" s="410"/>
      <c r="S219" s="410"/>
      <c r="T219" s="410"/>
      <c r="U219" s="410"/>
      <c r="V219" s="410"/>
      <c r="W219" s="353"/>
    </row>
    <row r="220" spans="1:23" s="354" customFormat="1" ht="23.1" customHeight="1">
      <c r="A220" s="409"/>
      <c r="B220" s="409"/>
      <c r="C220" s="410"/>
      <c r="D220" s="410"/>
      <c r="E220" s="410"/>
      <c r="F220" s="410"/>
      <c r="G220" s="410"/>
      <c r="H220" s="410"/>
      <c r="I220" s="410"/>
      <c r="J220" s="410"/>
      <c r="K220" s="410"/>
      <c r="L220" s="410"/>
      <c r="M220" s="410"/>
      <c r="N220" s="410"/>
      <c r="O220" s="410"/>
      <c r="P220" s="410"/>
      <c r="Q220" s="410"/>
      <c r="R220" s="410"/>
      <c r="S220" s="410"/>
      <c r="T220" s="410"/>
      <c r="U220" s="410"/>
      <c r="V220" s="410"/>
      <c r="W220" s="353"/>
    </row>
    <row r="221" spans="1:23" s="354" customFormat="1" ht="23.1" customHeight="1">
      <c r="A221" s="409"/>
      <c r="B221" s="409"/>
      <c r="C221" s="410"/>
      <c r="D221" s="410"/>
      <c r="E221" s="410"/>
      <c r="F221" s="410"/>
      <c r="G221" s="410"/>
      <c r="H221" s="410"/>
      <c r="I221" s="410"/>
      <c r="J221" s="410"/>
      <c r="K221" s="410"/>
      <c r="L221" s="410"/>
      <c r="M221" s="410"/>
      <c r="N221" s="410"/>
      <c r="O221" s="410"/>
      <c r="P221" s="410"/>
      <c r="Q221" s="410"/>
      <c r="R221" s="410"/>
      <c r="S221" s="410"/>
      <c r="T221" s="410"/>
      <c r="U221" s="410"/>
      <c r="V221" s="410"/>
      <c r="W221" s="353"/>
    </row>
    <row r="222" spans="1:23" s="354" customFormat="1" ht="23.1" customHeight="1">
      <c r="A222" s="409"/>
      <c r="B222" s="409"/>
      <c r="C222" s="410"/>
      <c r="D222" s="410"/>
      <c r="E222" s="410"/>
      <c r="F222" s="410"/>
      <c r="G222" s="410"/>
      <c r="H222" s="410"/>
      <c r="I222" s="410"/>
      <c r="J222" s="410"/>
      <c r="K222" s="410"/>
      <c r="L222" s="410"/>
      <c r="M222" s="410"/>
      <c r="N222" s="410"/>
      <c r="O222" s="410"/>
      <c r="P222" s="410"/>
      <c r="Q222" s="410"/>
      <c r="R222" s="410"/>
      <c r="S222" s="410"/>
      <c r="T222" s="410"/>
      <c r="U222" s="410"/>
      <c r="V222" s="410"/>
      <c r="W222" s="353"/>
    </row>
    <row r="223" spans="1:23" s="354" customFormat="1" ht="23.1" customHeight="1">
      <c r="A223" s="409"/>
      <c r="B223" s="409"/>
      <c r="C223" s="410"/>
      <c r="D223" s="410"/>
      <c r="E223" s="410"/>
      <c r="F223" s="410"/>
      <c r="G223" s="410"/>
      <c r="H223" s="410"/>
      <c r="I223" s="410"/>
      <c r="J223" s="410"/>
      <c r="K223" s="410"/>
      <c r="L223" s="410"/>
      <c r="M223" s="410"/>
      <c r="N223" s="410"/>
      <c r="O223" s="410"/>
      <c r="P223" s="410"/>
      <c r="Q223" s="410"/>
      <c r="R223" s="410"/>
      <c r="S223" s="410"/>
      <c r="T223" s="410"/>
      <c r="U223" s="410"/>
      <c r="V223" s="410"/>
      <c r="W223" s="353"/>
    </row>
    <row r="224" spans="1:23" s="354" customFormat="1" ht="23.1" customHeight="1">
      <c r="A224" s="409"/>
      <c r="B224" s="409"/>
      <c r="C224" s="410"/>
      <c r="D224" s="410"/>
      <c r="E224" s="410"/>
      <c r="F224" s="410"/>
      <c r="G224" s="410"/>
      <c r="H224" s="410"/>
      <c r="I224" s="410"/>
      <c r="J224" s="410"/>
      <c r="K224" s="410"/>
      <c r="L224" s="410"/>
      <c r="M224" s="410"/>
      <c r="N224" s="410"/>
      <c r="O224" s="410"/>
      <c r="P224" s="410"/>
      <c r="Q224" s="410"/>
      <c r="R224" s="410"/>
      <c r="S224" s="410"/>
      <c r="T224" s="410"/>
      <c r="U224" s="410"/>
      <c r="V224" s="410"/>
      <c r="W224" s="353"/>
    </row>
    <row r="225" spans="1:23" s="354" customFormat="1" ht="23.1" customHeight="1">
      <c r="A225" s="409"/>
      <c r="B225" s="409"/>
      <c r="C225" s="410"/>
      <c r="D225" s="410"/>
      <c r="E225" s="410"/>
      <c r="F225" s="410"/>
      <c r="G225" s="410"/>
      <c r="H225" s="410"/>
      <c r="I225" s="410"/>
      <c r="J225" s="410"/>
      <c r="K225" s="410"/>
      <c r="L225" s="410"/>
      <c r="M225" s="410"/>
      <c r="N225" s="410"/>
      <c r="O225" s="410"/>
      <c r="P225" s="410"/>
      <c r="Q225" s="410"/>
      <c r="R225" s="410"/>
      <c r="S225" s="410"/>
      <c r="T225" s="410"/>
      <c r="U225" s="410"/>
      <c r="V225" s="410"/>
      <c r="W225" s="353"/>
    </row>
    <row r="226" spans="1:23" s="354" customFormat="1" ht="23.1" customHeight="1">
      <c r="A226" s="409"/>
      <c r="B226" s="409"/>
      <c r="C226" s="410"/>
      <c r="D226" s="410"/>
      <c r="E226" s="410"/>
      <c r="F226" s="410"/>
      <c r="G226" s="410"/>
      <c r="H226" s="410"/>
      <c r="I226" s="410"/>
      <c r="J226" s="410"/>
      <c r="K226" s="410"/>
      <c r="L226" s="410"/>
      <c r="M226" s="410"/>
      <c r="N226" s="410"/>
      <c r="O226" s="410"/>
      <c r="P226" s="410"/>
      <c r="Q226" s="410"/>
      <c r="R226" s="410"/>
      <c r="S226" s="410"/>
      <c r="T226" s="410"/>
      <c r="U226" s="410"/>
      <c r="V226" s="410"/>
      <c r="W226" s="353"/>
    </row>
    <row r="227" spans="1:23" s="354" customFormat="1" ht="23.1" customHeight="1">
      <c r="A227" s="409"/>
      <c r="B227" s="409"/>
      <c r="C227" s="410"/>
      <c r="D227" s="410"/>
      <c r="E227" s="410"/>
      <c r="F227" s="410"/>
      <c r="G227" s="410"/>
      <c r="H227" s="410"/>
      <c r="I227" s="410"/>
      <c r="J227" s="410"/>
      <c r="K227" s="410"/>
      <c r="L227" s="410"/>
      <c r="M227" s="410"/>
      <c r="N227" s="410"/>
      <c r="O227" s="410"/>
      <c r="P227" s="410"/>
      <c r="Q227" s="410"/>
      <c r="R227" s="410"/>
      <c r="S227" s="410"/>
      <c r="T227" s="410"/>
      <c r="U227" s="410"/>
      <c r="V227" s="410"/>
      <c r="W227" s="353"/>
    </row>
    <row r="228" spans="1:23" s="354" customFormat="1" ht="23.1" customHeight="1">
      <c r="A228" s="409"/>
      <c r="B228" s="409"/>
      <c r="C228" s="410"/>
      <c r="D228" s="410"/>
      <c r="E228" s="410"/>
      <c r="F228" s="410"/>
      <c r="G228" s="410"/>
      <c r="H228" s="410"/>
      <c r="I228" s="410"/>
      <c r="J228" s="410"/>
      <c r="K228" s="410"/>
      <c r="L228" s="410"/>
      <c r="M228" s="410"/>
      <c r="N228" s="410"/>
      <c r="O228" s="410"/>
      <c r="P228" s="410"/>
      <c r="Q228" s="410"/>
      <c r="R228" s="410"/>
      <c r="S228" s="410"/>
      <c r="T228" s="410"/>
      <c r="U228" s="410"/>
      <c r="V228" s="410"/>
      <c r="W228" s="353"/>
    </row>
    <row r="229" spans="1:23" s="354" customFormat="1" ht="23.1" customHeight="1">
      <c r="A229" s="409"/>
      <c r="B229" s="409"/>
      <c r="C229" s="410"/>
      <c r="D229" s="410"/>
      <c r="E229" s="410"/>
      <c r="F229" s="410"/>
      <c r="G229" s="410"/>
      <c r="H229" s="410"/>
      <c r="I229" s="410"/>
      <c r="J229" s="410"/>
      <c r="K229" s="410"/>
      <c r="L229" s="410"/>
      <c r="M229" s="410"/>
      <c r="N229" s="410"/>
      <c r="O229" s="410"/>
      <c r="P229" s="410"/>
      <c r="Q229" s="410"/>
      <c r="R229" s="410"/>
      <c r="S229" s="410"/>
      <c r="T229" s="410"/>
      <c r="U229" s="410"/>
      <c r="V229" s="410"/>
      <c r="W229" s="353"/>
    </row>
    <row r="230" spans="1:23" s="354" customFormat="1" ht="23.1" customHeight="1">
      <c r="A230" s="409"/>
      <c r="B230" s="409"/>
      <c r="C230" s="410"/>
      <c r="D230" s="410"/>
      <c r="E230" s="410"/>
      <c r="F230" s="410"/>
      <c r="G230" s="410"/>
      <c r="H230" s="410"/>
      <c r="I230" s="410"/>
      <c r="J230" s="410"/>
      <c r="K230" s="410"/>
      <c r="L230" s="410"/>
      <c r="M230" s="410"/>
      <c r="N230" s="410"/>
      <c r="O230" s="410"/>
      <c r="P230" s="410"/>
      <c r="Q230" s="410"/>
      <c r="R230" s="410"/>
      <c r="S230" s="410"/>
      <c r="T230" s="410"/>
      <c r="U230" s="410"/>
      <c r="V230" s="410"/>
      <c r="W230" s="353"/>
    </row>
    <row r="231" spans="1:23" s="354" customFormat="1" ht="23.1" customHeight="1">
      <c r="A231" s="409"/>
      <c r="B231" s="409"/>
      <c r="C231" s="410"/>
      <c r="D231" s="410"/>
      <c r="E231" s="410"/>
      <c r="F231" s="410"/>
      <c r="G231" s="410"/>
      <c r="H231" s="410"/>
      <c r="I231" s="410"/>
      <c r="J231" s="410"/>
      <c r="K231" s="410"/>
      <c r="L231" s="410"/>
      <c r="M231" s="410"/>
      <c r="N231" s="410"/>
      <c r="O231" s="410"/>
      <c r="P231" s="410"/>
      <c r="Q231" s="410"/>
      <c r="R231" s="410"/>
      <c r="S231" s="410"/>
      <c r="T231" s="410"/>
      <c r="U231" s="410"/>
      <c r="V231" s="410"/>
      <c r="W231" s="353"/>
    </row>
    <row r="232" spans="1:23" s="354" customFormat="1" ht="23.1" customHeight="1">
      <c r="A232" s="409"/>
      <c r="B232" s="409"/>
      <c r="C232" s="410"/>
      <c r="D232" s="410"/>
      <c r="E232" s="410"/>
      <c r="F232" s="410"/>
      <c r="G232" s="410"/>
      <c r="H232" s="410"/>
      <c r="I232" s="410"/>
      <c r="J232" s="410"/>
      <c r="K232" s="410"/>
      <c r="L232" s="410"/>
      <c r="M232" s="410"/>
      <c r="N232" s="410"/>
      <c r="O232" s="410"/>
      <c r="P232" s="410"/>
      <c r="Q232" s="410"/>
      <c r="R232" s="410"/>
      <c r="S232" s="410"/>
      <c r="T232" s="410"/>
      <c r="U232" s="410"/>
      <c r="V232" s="410"/>
      <c r="W232" s="353"/>
    </row>
    <row r="233" spans="1:23" s="352" customFormat="1" ht="20.100000000000001" customHeight="1">
      <c r="A233" s="409"/>
      <c r="B233" s="409"/>
      <c r="C233" s="410"/>
      <c r="D233" s="410"/>
      <c r="E233" s="410"/>
      <c r="F233" s="410"/>
      <c r="G233" s="410"/>
      <c r="H233" s="410"/>
      <c r="I233" s="410"/>
      <c r="J233" s="410"/>
      <c r="K233" s="410"/>
      <c r="L233" s="410"/>
      <c r="M233" s="410"/>
      <c r="N233" s="410"/>
      <c r="O233" s="410"/>
      <c r="P233" s="410"/>
      <c r="Q233" s="410"/>
      <c r="R233" s="410"/>
      <c r="S233" s="410"/>
      <c r="T233" s="410"/>
      <c r="U233" s="410"/>
      <c r="V233" s="410"/>
    </row>
    <row r="234" spans="1:23" s="352" customFormat="1" ht="9.9499999999999993" customHeight="1">
      <c r="A234" s="409"/>
      <c r="B234" s="409"/>
      <c r="C234" s="410"/>
      <c r="D234" s="410"/>
      <c r="E234" s="410"/>
      <c r="F234" s="410"/>
      <c r="G234" s="410"/>
      <c r="H234" s="410"/>
      <c r="I234" s="410"/>
      <c r="J234" s="410"/>
      <c r="K234" s="410"/>
      <c r="L234" s="410"/>
      <c r="M234" s="410"/>
      <c r="N234" s="410"/>
      <c r="O234" s="410"/>
      <c r="P234" s="410"/>
      <c r="Q234" s="410"/>
      <c r="R234" s="410"/>
      <c r="S234" s="410"/>
      <c r="T234" s="410"/>
      <c r="U234" s="410"/>
      <c r="V234" s="410"/>
    </row>
    <row r="235" spans="1:23" s="354" customFormat="1" ht="27.95" customHeight="1">
      <c r="A235" s="409"/>
      <c r="B235" s="409"/>
      <c r="C235" s="410"/>
      <c r="D235" s="410"/>
      <c r="E235" s="410"/>
      <c r="F235" s="410"/>
      <c r="G235" s="410"/>
      <c r="H235" s="410"/>
      <c r="I235" s="410"/>
      <c r="J235" s="410"/>
      <c r="K235" s="410"/>
      <c r="L235" s="410"/>
      <c r="M235" s="410"/>
      <c r="N235" s="410"/>
      <c r="O235" s="410"/>
      <c r="P235" s="410"/>
      <c r="Q235" s="410"/>
      <c r="R235" s="410"/>
      <c r="S235" s="410"/>
      <c r="T235" s="410"/>
      <c r="U235" s="410"/>
      <c r="V235" s="410"/>
      <c r="W235" s="353"/>
    </row>
    <row r="236" spans="1:23" s="354" customFormat="1" ht="27.95" customHeight="1">
      <c r="A236" s="409"/>
      <c r="B236" s="409"/>
      <c r="C236" s="410"/>
      <c r="D236" s="410"/>
      <c r="E236" s="410"/>
      <c r="F236" s="410"/>
      <c r="G236" s="410"/>
      <c r="H236" s="410"/>
      <c r="I236" s="410"/>
      <c r="J236" s="410"/>
      <c r="K236" s="410"/>
      <c r="L236" s="410"/>
      <c r="M236" s="410"/>
      <c r="N236" s="410"/>
      <c r="O236" s="410"/>
      <c r="P236" s="410"/>
      <c r="Q236" s="410"/>
      <c r="R236" s="410"/>
      <c r="S236" s="410"/>
      <c r="T236" s="410"/>
      <c r="U236" s="410"/>
      <c r="V236" s="410"/>
      <c r="W236" s="353"/>
    </row>
    <row r="237" spans="1:23" s="354" customFormat="1" ht="23.1" customHeight="1">
      <c r="A237" s="409"/>
      <c r="B237" s="409"/>
      <c r="C237" s="410"/>
      <c r="D237" s="410"/>
      <c r="E237" s="410"/>
      <c r="F237" s="410"/>
      <c r="G237" s="410"/>
      <c r="H237" s="410"/>
      <c r="I237" s="410"/>
      <c r="J237" s="410"/>
      <c r="K237" s="410"/>
      <c r="L237" s="410"/>
      <c r="M237" s="410"/>
      <c r="N237" s="410"/>
      <c r="O237" s="410"/>
      <c r="P237" s="410"/>
      <c r="Q237" s="410"/>
      <c r="R237" s="410"/>
      <c r="S237" s="410"/>
      <c r="T237" s="410"/>
      <c r="U237" s="410"/>
      <c r="V237" s="410"/>
      <c r="W237" s="353"/>
    </row>
    <row r="238" spans="1:23" s="354" customFormat="1" ht="23.1" customHeight="1">
      <c r="A238" s="409"/>
      <c r="B238" s="409"/>
      <c r="C238" s="410"/>
      <c r="D238" s="410"/>
      <c r="E238" s="410"/>
      <c r="F238" s="410"/>
      <c r="G238" s="410"/>
      <c r="H238" s="410"/>
      <c r="I238" s="410"/>
      <c r="J238" s="410"/>
      <c r="K238" s="410"/>
      <c r="L238" s="410"/>
      <c r="M238" s="410"/>
      <c r="N238" s="410"/>
      <c r="O238" s="410"/>
      <c r="P238" s="410"/>
      <c r="Q238" s="410"/>
      <c r="R238" s="410"/>
      <c r="S238" s="410"/>
      <c r="T238" s="410"/>
      <c r="U238" s="410"/>
      <c r="V238" s="410"/>
      <c r="W238" s="353"/>
    </row>
    <row r="239" spans="1:23" s="354" customFormat="1" ht="23.1" customHeight="1">
      <c r="A239" s="409"/>
      <c r="B239" s="409"/>
      <c r="C239" s="410"/>
      <c r="D239" s="410"/>
      <c r="E239" s="410"/>
      <c r="F239" s="410"/>
      <c r="G239" s="410"/>
      <c r="H239" s="410"/>
      <c r="I239" s="410"/>
      <c r="J239" s="410"/>
      <c r="K239" s="410"/>
      <c r="L239" s="410"/>
      <c r="M239" s="410"/>
      <c r="N239" s="410"/>
      <c r="O239" s="410"/>
      <c r="P239" s="410"/>
      <c r="Q239" s="410"/>
      <c r="R239" s="410"/>
      <c r="S239" s="410"/>
      <c r="T239" s="410"/>
      <c r="U239" s="410"/>
      <c r="V239" s="410"/>
      <c r="W239" s="353"/>
    </row>
    <row r="240" spans="1:23" s="354" customFormat="1" ht="23.1" customHeight="1">
      <c r="A240" s="409"/>
      <c r="B240" s="409"/>
      <c r="C240" s="410"/>
      <c r="D240" s="410"/>
      <c r="E240" s="410"/>
      <c r="F240" s="410"/>
      <c r="G240" s="410"/>
      <c r="H240" s="410"/>
      <c r="I240" s="410"/>
      <c r="J240" s="410"/>
      <c r="K240" s="410"/>
      <c r="L240" s="410"/>
      <c r="M240" s="410"/>
      <c r="N240" s="410"/>
      <c r="O240" s="410"/>
      <c r="P240" s="410"/>
      <c r="Q240" s="410"/>
      <c r="R240" s="410"/>
      <c r="S240" s="410"/>
      <c r="T240" s="410"/>
      <c r="U240" s="410"/>
      <c r="V240" s="410"/>
      <c r="W240" s="353"/>
    </row>
    <row r="241" spans="1:23" s="354" customFormat="1" ht="23.1" customHeight="1">
      <c r="A241" s="409"/>
      <c r="B241" s="409"/>
      <c r="C241" s="410"/>
      <c r="D241" s="410"/>
      <c r="E241" s="410"/>
      <c r="F241" s="410"/>
      <c r="G241" s="410"/>
      <c r="H241" s="410"/>
      <c r="I241" s="410"/>
      <c r="J241" s="410"/>
      <c r="K241" s="410"/>
      <c r="L241" s="410"/>
      <c r="M241" s="410"/>
      <c r="N241" s="410"/>
      <c r="O241" s="410"/>
      <c r="P241" s="410"/>
      <c r="Q241" s="410"/>
      <c r="R241" s="410"/>
      <c r="S241" s="410"/>
      <c r="T241" s="410"/>
      <c r="U241" s="410"/>
      <c r="V241" s="410"/>
      <c r="W241" s="353"/>
    </row>
    <row r="242" spans="1:23" s="354" customFormat="1" ht="23.1" customHeight="1">
      <c r="A242" s="409"/>
      <c r="B242" s="409"/>
      <c r="C242" s="410"/>
      <c r="D242" s="410"/>
      <c r="E242" s="410"/>
      <c r="F242" s="410"/>
      <c r="G242" s="410"/>
      <c r="H242" s="410"/>
      <c r="I242" s="410"/>
      <c r="J242" s="410"/>
      <c r="K242" s="410"/>
      <c r="L242" s="410"/>
      <c r="M242" s="410"/>
      <c r="N242" s="410"/>
      <c r="O242" s="410"/>
      <c r="P242" s="410"/>
      <c r="Q242" s="410"/>
      <c r="R242" s="410"/>
      <c r="S242" s="410"/>
      <c r="T242" s="410"/>
      <c r="U242" s="410"/>
      <c r="V242" s="410"/>
      <c r="W242" s="353"/>
    </row>
    <row r="243" spans="1:23" s="354" customFormat="1" ht="23.1" customHeight="1">
      <c r="A243" s="409"/>
      <c r="B243" s="409"/>
      <c r="C243" s="410"/>
      <c r="D243" s="410"/>
      <c r="E243" s="410"/>
      <c r="F243" s="410"/>
      <c r="G243" s="410"/>
      <c r="H243" s="410"/>
      <c r="I243" s="410"/>
      <c r="J243" s="410"/>
      <c r="K243" s="410"/>
      <c r="L243" s="410"/>
      <c r="M243" s="410"/>
      <c r="N243" s="410"/>
      <c r="O243" s="410"/>
      <c r="P243" s="410"/>
      <c r="Q243" s="410"/>
      <c r="R243" s="410"/>
      <c r="S243" s="410"/>
      <c r="T243" s="410"/>
      <c r="U243" s="410"/>
      <c r="V243" s="410"/>
      <c r="W243" s="353"/>
    </row>
    <row r="244" spans="1:23" s="354" customFormat="1" ht="23.1" customHeight="1">
      <c r="A244" s="409"/>
      <c r="B244" s="409"/>
      <c r="C244" s="410"/>
      <c r="D244" s="410"/>
      <c r="E244" s="410"/>
      <c r="F244" s="410"/>
      <c r="G244" s="410"/>
      <c r="H244" s="410"/>
      <c r="I244" s="410"/>
      <c r="J244" s="410"/>
      <c r="K244" s="410"/>
      <c r="L244" s="410"/>
      <c r="M244" s="410"/>
      <c r="N244" s="410"/>
      <c r="O244" s="410"/>
      <c r="P244" s="410"/>
      <c r="Q244" s="410"/>
      <c r="R244" s="410"/>
      <c r="S244" s="410"/>
      <c r="T244" s="410"/>
      <c r="U244" s="410"/>
      <c r="V244" s="410"/>
      <c r="W244" s="353"/>
    </row>
    <row r="245" spans="1:23" s="354" customFormat="1" ht="23.1" customHeight="1">
      <c r="A245" s="409"/>
      <c r="B245" s="409"/>
      <c r="C245" s="410"/>
      <c r="D245" s="410"/>
      <c r="E245" s="410"/>
      <c r="F245" s="410"/>
      <c r="G245" s="410"/>
      <c r="H245" s="410"/>
      <c r="I245" s="410"/>
      <c r="J245" s="410"/>
      <c r="K245" s="410"/>
      <c r="L245" s="410"/>
      <c r="M245" s="410"/>
      <c r="N245" s="410"/>
      <c r="O245" s="410"/>
      <c r="P245" s="410"/>
      <c r="Q245" s="410"/>
      <c r="R245" s="410"/>
      <c r="S245" s="410"/>
      <c r="T245" s="410"/>
      <c r="U245" s="410"/>
      <c r="V245" s="410"/>
      <c r="W245" s="353"/>
    </row>
    <row r="246" spans="1:23" s="354" customFormat="1" ht="23.1" customHeight="1">
      <c r="A246" s="409"/>
      <c r="B246" s="409"/>
      <c r="C246" s="410"/>
      <c r="D246" s="410"/>
      <c r="E246" s="410"/>
      <c r="F246" s="410"/>
      <c r="G246" s="410"/>
      <c r="H246" s="410"/>
      <c r="I246" s="410"/>
      <c r="J246" s="410"/>
      <c r="K246" s="410"/>
      <c r="L246" s="410"/>
      <c r="M246" s="410"/>
      <c r="N246" s="410"/>
      <c r="O246" s="410"/>
      <c r="P246" s="410"/>
      <c r="Q246" s="410"/>
      <c r="R246" s="410"/>
      <c r="S246" s="410"/>
      <c r="T246" s="410"/>
      <c r="U246" s="410"/>
      <c r="V246" s="410"/>
      <c r="W246" s="353"/>
    </row>
    <row r="247" spans="1:23" s="354" customFormat="1" ht="23.1" customHeight="1">
      <c r="A247" s="409"/>
      <c r="B247" s="409"/>
      <c r="C247" s="410"/>
      <c r="D247" s="410"/>
      <c r="E247" s="410"/>
      <c r="F247" s="410"/>
      <c r="G247" s="410"/>
      <c r="H247" s="410"/>
      <c r="I247" s="410"/>
      <c r="J247" s="410"/>
      <c r="K247" s="410"/>
      <c r="L247" s="410"/>
      <c r="M247" s="410"/>
      <c r="N247" s="410"/>
      <c r="O247" s="410"/>
      <c r="P247" s="410"/>
      <c r="Q247" s="410"/>
      <c r="R247" s="410"/>
      <c r="S247" s="410"/>
      <c r="T247" s="410"/>
      <c r="U247" s="410"/>
      <c r="V247" s="410"/>
      <c r="W247" s="353"/>
    </row>
    <row r="248" spans="1:23" s="354" customFormat="1" ht="23.1" customHeight="1">
      <c r="A248" s="409"/>
      <c r="B248" s="409"/>
      <c r="C248" s="410"/>
      <c r="D248" s="410"/>
      <c r="E248" s="410"/>
      <c r="F248" s="410"/>
      <c r="G248" s="410"/>
      <c r="H248" s="410"/>
      <c r="I248" s="410"/>
      <c r="J248" s="410"/>
      <c r="K248" s="410"/>
      <c r="L248" s="410"/>
      <c r="M248" s="410"/>
      <c r="N248" s="410"/>
      <c r="O248" s="410"/>
      <c r="P248" s="410"/>
      <c r="Q248" s="410"/>
      <c r="R248" s="410"/>
      <c r="S248" s="410"/>
      <c r="T248" s="410"/>
      <c r="U248" s="410"/>
      <c r="V248" s="410"/>
      <c r="W248" s="353"/>
    </row>
    <row r="249" spans="1:23" s="354" customFormat="1" ht="23.1" customHeight="1">
      <c r="A249" s="409"/>
      <c r="B249" s="409"/>
      <c r="C249" s="410"/>
      <c r="D249" s="410"/>
      <c r="E249" s="410"/>
      <c r="F249" s="410"/>
      <c r="G249" s="410"/>
      <c r="H249" s="410"/>
      <c r="I249" s="410"/>
      <c r="J249" s="410"/>
      <c r="K249" s="410"/>
      <c r="L249" s="410"/>
      <c r="M249" s="410"/>
      <c r="N249" s="410"/>
      <c r="O249" s="410"/>
      <c r="P249" s="410"/>
      <c r="Q249" s="410"/>
      <c r="R249" s="410"/>
      <c r="S249" s="410"/>
      <c r="T249" s="410"/>
      <c r="U249" s="410"/>
      <c r="V249" s="410"/>
      <c r="W249" s="353"/>
    </row>
    <row r="250" spans="1:23" s="354" customFormat="1" ht="23.1" customHeight="1">
      <c r="A250" s="409"/>
      <c r="B250" s="409"/>
      <c r="C250" s="410"/>
      <c r="D250" s="410"/>
      <c r="E250" s="410"/>
      <c r="F250" s="410"/>
      <c r="G250" s="410"/>
      <c r="H250" s="410"/>
      <c r="I250" s="410"/>
      <c r="J250" s="410"/>
      <c r="K250" s="410"/>
      <c r="L250" s="410"/>
      <c r="M250" s="410"/>
      <c r="N250" s="410"/>
      <c r="O250" s="410"/>
      <c r="P250" s="410"/>
      <c r="Q250" s="410"/>
      <c r="R250" s="410"/>
      <c r="S250" s="410"/>
      <c r="T250" s="410"/>
      <c r="U250" s="410"/>
      <c r="V250" s="410"/>
      <c r="W250" s="353"/>
    </row>
    <row r="251" spans="1:23" s="354" customFormat="1" ht="23.1" customHeight="1">
      <c r="A251" s="409"/>
      <c r="B251" s="409"/>
      <c r="C251" s="410"/>
      <c r="D251" s="410"/>
      <c r="E251" s="410"/>
      <c r="F251" s="410"/>
      <c r="G251" s="410"/>
      <c r="H251" s="410"/>
      <c r="I251" s="410"/>
      <c r="J251" s="410"/>
      <c r="K251" s="410"/>
      <c r="L251" s="410"/>
      <c r="M251" s="410"/>
      <c r="N251" s="410"/>
      <c r="O251" s="410"/>
      <c r="P251" s="410"/>
      <c r="Q251" s="410"/>
      <c r="R251" s="410"/>
      <c r="S251" s="410"/>
      <c r="T251" s="410"/>
      <c r="U251" s="410"/>
      <c r="V251" s="410"/>
      <c r="W251" s="353"/>
    </row>
    <row r="252" spans="1:23" s="354" customFormat="1" ht="23.1" customHeight="1">
      <c r="A252" s="409"/>
      <c r="B252" s="409"/>
      <c r="C252" s="410"/>
      <c r="D252" s="410"/>
      <c r="E252" s="410"/>
      <c r="F252" s="410"/>
      <c r="G252" s="410"/>
      <c r="H252" s="410"/>
      <c r="I252" s="410"/>
      <c r="J252" s="410"/>
      <c r="K252" s="410"/>
      <c r="L252" s="410"/>
      <c r="M252" s="410"/>
      <c r="N252" s="410"/>
      <c r="O252" s="410"/>
      <c r="P252" s="410"/>
      <c r="Q252" s="410"/>
      <c r="R252" s="410"/>
      <c r="S252" s="410"/>
      <c r="T252" s="410"/>
      <c r="U252" s="410"/>
      <c r="V252" s="410"/>
      <c r="W252" s="353"/>
    </row>
    <row r="253" spans="1:23" s="354" customFormat="1" ht="23.1" customHeight="1">
      <c r="A253" s="409"/>
      <c r="B253" s="409"/>
      <c r="C253" s="410"/>
      <c r="D253" s="410"/>
      <c r="E253" s="410"/>
      <c r="F253" s="410"/>
      <c r="G253" s="410"/>
      <c r="H253" s="410"/>
      <c r="I253" s="410"/>
      <c r="J253" s="410"/>
      <c r="K253" s="410"/>
      <c r="L253" s="410"/>
      <c r="M253" s="410"/>
      <c r="N253" s="410"/>
      <c r="O253" s="410"/>
      <c r="P253" s="410"/>
      <c r="Q253" s="410"/>
      <c r="R253" s="410"/>
      <c r="S253" s="410"/>
      <c r="T253" s="410"/>
      <c r="U253" s="410"/>
      <c r="V253" s="410"/>
      <c r="W253" s="353"/>
    </row>
    <row r="254" spans="1:23" s="354" customFormat="1" ht="23.1" customHeight="1">
      <c r="A254" s="409"/>
      <c r="B254" s="409"/>
      <c r="C254" s="410"/>
      <c r="D254" s="410"/>
      <c r="E254" s="410"/>
      <c r="F254" s="410"/>
      <c r="G254" s="410"/>
      <c r="H254" s="410"/>
      <c r="I254" s="410"/>
      <c r="J254" s="410"/>
      <c r="K254" s="410"/>
      <c r="L254" s="410"/>
      <c r="M254" s="410"/>
      <c r="N254" s="410"/>
      <c r="O254" s="410"/>
      <c r="P254" s="410"/>
      <c r="Q254" s="410"/>
      <c r="R254" s="410"/>
      <c r="S254" s="410"/>
      <c r="T254" s="410"/>
      <c r="U254" s="410"/>
      <c r="V254" s="410"/>
      <c r="W254" s="353"/>
    </row>
    <row r="255" spans="1:23" s="354" customFormat="1" ht="23.1" customHeight="1">
      <c r="A255" s="409"/>
      <c r="B255" s="409"/>
      <c r="C255" s="410"/>
      <c r="D255" s="410"/>
      <c r="E255" s="410"/>
      <c r="F255" s="410"/>
      <c r="G255" s="410"/>
      <c r="H255" s="410"/>
      <c r="I255" s="410"/>
      <c r="J255" s="410"/>
      <c r="K255" s="410"/>
      <c r="L255" s="410"/>
      <c r="M255" s="410"/>
      <c r="N255" s="410"/>
      <c r="O255" s="410"/>
      <c r="P255" s="410"/>
      <c r="Q255" s="410"/>
      <c r="R255" s="410"/>
      <c r="S255" s="410"/>
      <c r="T255" s="410"/>
      <c r="U255" s="410"/>
      <c r="V255" s="410"/>
      <c r="W255" s="353"/>
    </row>
    <row r="256" spans="1:23" s="354" customFormat="1" ht="23.1" customHeight="1">
      <c r="A256" s="409"/>
      <c r="B256" s="409"/>
      <c r="C256" s="410"/>
      <c r="D256" s="410"/>
      <c r="E256" s="410"/>
      <c r="F256" s="410"/>
      <c r="G256" s="410"/>
      <c r="H256" s="410"/>
      <c r="I256" s="410"/>
      <c r="J256" s="410"/>
      <c r="K256" s="410"/>
      <c r="L256" s="410"/>
      <c r="M256" s="410"/>
      <c r="N256" s="410"/>
      <c r="O256" s="410"/>
      <c r="P256" s="410"/>
      <c r="Q256" s="410"/>
      <c r="R256" s="410"/>
      <c r="S256" s="410"/>
      <c r="T256" s="410"/>
      <c r="U256" s="410"/>
      <c r="V256" s="410"/>
      <c r="W256" s="353"/>
    </row>
    <row r="257" spans="1:23" s="354" customFormat="1" ht="23.1" customHeight="1">
      <c r="A257" s="409"/>
      <c r="B257" s="409"/>
      <c r="C257" s="410"/>
      <c r="D257" s="410"/>
      <c r="E257" s="410"/>
      <c r="F257" s="410"/>
      <c r="G257" s="410"/>
      <c r="H257" s="410"/>
      <c r="I257" s="410"/>
      <c r="J257" s="410"/>
      <c r="K257" s="410"/>
      <c r="L257" s="410"/>
      <c r="M257" s="410"/>
      <c r="N257" s="410"/>
      <c r="O257" s="410"/>
      <c r="P257" s="410"/>
      <c r="Q257" s="410"/>
      <c r="R257" s="410"/>
      <c r="S257" s="410"/>
      <c r="T257" s="410"/>
      <c r="U257" s="410"/>
      <c r="V257" s="410"/>
      <c r="W257" s="353"/>
    </row>
    <row r="258" spans="1:23" s="354" customFormat="1" ht="23.1" customHeight="1">
      <c r="A258" s="409"/>
      <c r="B258" s="409"/>
      <c r="C258" s="410"/>
      <c r="D258" s="410"/>
      <c r="E258" s="410"/>
      <c r="F258" s="410"/>
      <c r="G258" s="410"/>
      <c r="H258" s="410"/>
      <c r="I258" s="410"/>
      <c r="J258" s="410"/>
      <c r="K258" s="410"/>
      <c r="L258" s="410"/>
      <c r="M258" s="410"/>
      <c r="N258" s="410"/>
      <c r="O258" s="410"/>
      <c r="P258" s="410"/>
      <c r="Q258" s="410"/>
      <c r="R258" s="410"/>
      <c r="S258" s="410"/>
      <c r="T258" s="410"/>
      <c r="U258" s="410"/>
      <c r="V258" s="410"/>
      <c r="W258" s="353"/>
    </row>
    <row r="259" spans="1:23" s="354" customFormat="1" ht="23.1" customHeight="1">
      <c r="A259" s="409"/>
      <c r="B259" s="409"/>
      <c r="C259" s="410"/>
      <c r="D259" s="410"/>
      <c r="E259" s="410"/>
      <c r="F259" s="410"/>
      <c r="G259" s="410"/>
      <c r="H259" s="410"/>
      <c r="I259" s="410"/>
      <c r="J259" s="410"/>
      <c r="K259" s="410"/>
      <c r="L259" s="410"/>
      <c r="M259" s="410"/>
      <c r="N259" s="410"/>
      <c r="O259" s="410"/>
      <c r="P259" s="410"/>
      <c r="Q259" s="410"/>
      <c r="R259" s="410"/>
      <c r="S259" s="410"/>
      <c r="T259" s="410"/>
      <c r="U259" s="410"/>
      <c r="V259" s="410"/>
      <c r="W259" s="353"/>
    </row>
    <row r="260" spans="1:23" s="354" customFormat="1" ht="23.1" customHeight="1">
      <c r="A260" s="409"/>
      <c r="B260" s="409"/>
      <c r="C260" s="410"/>
      <c r="D260" s="410"/>
      <c r="E260" s="410"/>
      <c r="F260" s="410"/>
      <c r="G260" s="410"/>
      <c r="H260" s="410"/>
      <c r="I260" s="410"/>
      <c r="J260" s="410"/>
      <c r="K260" s="410"/>
      <c r="L260" s="410"/>
      <c r="M260" s="410"/>
      <c r="N260" s="410"/>
      <c r="O260" s="410"/>
      <c r="P260" s="410"/>
      <c r="Q260" s="410"/>
      <c r="R260" s="410"/>
      <c r="S260" s="410"/>
      <c r="T260" s="410"/>
      <c r="U260" s="410"/>
      <c r="V260" s="410"/>
      <c r="W260" s="353"/>
    </row>
    <row r="261" spans="1:23" s="354" customFormat="1" ht="23.1" customHeight="1">
      <c r="A261" s="409"/>
      <c r="B261" s="409"/>
      <c r="C261" s="410"/>
      <c r="D261" s="410"/>
      <c r="E261" s="410"/>
      <c r="F261" s="410"/>
      <c r="G261" s="410"/>
      <c r="H261" s="410"/>
      <c r="I261" s="410"/>
      <c r="J261" s="410"/>
      <c r="K261" s="410"/>
      <c r="L261" s="410"/>
      <c r="M261" s="410"/>
      <c r="N261" s="410"/>
      <c r="O261" s="410"/>
      <c r="P261" s="410"/>
      <c r="Q261" s="410"/>
      <c r="R261" s="410"/>
      <c r="S261" s="410"/>
      <c r="T261" s="410"/>
      <c r="U261" s="410"/>
      <c r="V261" s="410"/>
      <c r="W261" s="353"/>
    </row>
    <row r="262" spans="1:23" s="354" customFormat="1" ht="23.1" customHeight="1">
      <c r="A262" s="409"/>
      <c r="B262" s="409"/>
      <c r="C262" s="410"/>
      <c r="D262" s="410"/>
      <c r="E262" s="410"/>
      <c r="F262" s="410"/>
      <c r="G262" s="410"/>
      <c r="H262" s="410"/>
      <c r="I262" s="410"/>
      <c r="J262" s="410"/>
      <c r="K262" s="410"/>
      <c r="L262" s="410"/>
      <c r="M262" s="410"/>
      <c r="N262" s="410"/>
      <c r="O262" s="410"/>
      <c r="P262" s="410"/>
      <c r="Q262" s="410"/>
      <c r="R262" s="410"/>
      <c r="S262" s="410"/>
      <c r="T262" s="410"/>
      <c r="U262" s="410"/>
      <c r="V262" s="410"/>
      <c r="W262" s="353"/>
    </row>
    <row r="263" spans="1:23" s="352" customFormat="1" ht="20.100000000000001" customHeight="1">
      <c r="A263" s="409"/>
      <c r="B263" s="409"/>
      <c r="C263" s="410"/>
      <c r="D263" s="410"/>
      <c r="E263" s="410"/>
      <c r="F263" s="410"/>
      <c r="G263" s="410"/>
      <c r="H263" s="410"/>
      <c r="I263" s="410"/>
      <c r="J263" s="410"/>
      <c r="K263" s="410"/>
      <c r="L263" s="410"/>
      <c r="M263" s="410"/>
      <c r="N263" s="410"/>
      <c r="O263" s="410"/>
      <c r="P263" s="410"/>
      <c r="Q263" s="410"/>
      <c r="R263" s="410"/>
      <c r="S263" s="410"/>
      <c r="T263" s="410"/>
      <c r="U263" s="410"/>
      <c r="V263" s="410"/>
    </row>
    <row r="264" spans="1:23" s="352" customFormat="1" ht="9.9499999999999993" customHeight="1">
      <c r="A264" s="409"/>
      <c r="B264" s="409"/>
      <c r="C264" s="410"/>
      <c r="D264" s="410"/>
      <c r="E264" s="410"/>
      <c r="F264" s="410"/>
      <c r="G264" s="410"/>
      <c r="H264" s="410"/>
      <c r="I264" s="410"/>
      <c r="J264" s="410"/>
      <c r="K264" s="410"/>
      <c r="L264" s="410"/>
      <c r="M264" s="410"/>
      <c r="N264" s="410"/>
      <c r="O264" s="410"/>
      <c r="P264" s="410"/>
      <c r="Q264" s="410"/>
      <c r="R264" s="410"/>
      <c r="S264" s="410"/>
      <c r="T264" s="410"/>
      <c r="U264" s="410"/>
      <c r="V264" s="410"/>
    </row>
    <row r="265" spans="1:23" s="354" customFormat="1" ht="27.95" customHeight="1">
      <c r="A265" s="409"/>
      <c r="B265" s="409"/>
      <c r="C265" s="410"/>
      <c r="D265" s="410"/>
      <c r="E265" s="410"/>
      <c r="F265" s="410"/>
      <c r="G265" s="410"/>
      <c r="H265" s="410"/>
      <c r="I265" s="410"/>
      <c r="J265" s="410"/>
      <c r="K265" s="410"/>
      <c r="L265" s="410"/>
      <c r="M265" s="410"/>
      <c r="N265" s="410"/>
      <c r="O265" s="410"/>
      <c r="P265" s="410"/>
      <c r="Q265" s="410"/>
      <c r="R265" s="410"/>
      <c r="S265" s="410"/>
      <c r="T265" s="410"/>
      <c r="U265" s="410"/>
      <c r="V265" s="410"/>
      <c r="W265" s="353"/>
    </row>
    <row r="266" spans="1:23" s="354" customFormat="1" ht="27.95" customHeight="1">
      <c r="A266" s="409"/>
      <c r="B266" s="409"/>
      <c r="C266" s="410"/>
      <c r="D266" s="410"/>
      <c r="E266" s="410"/>
      <c r="F266" s="410"/>
      <c r="G266" s="410"/>
      <c r="H266" s="410"/>
      <c r="I266" s="410"/>
      <c r="J266" s="410"/>
      <c r="K266" s="410"/>
      <c r="L266" s="410"/>
      <c r="M266" s="410"/>
      <c r="N266" s="410"/>
      <c r="O266" s="410"/>
      <c r="P266" s="410"/>
      <c r="Q266" s="410"/>
      <c r="R266" s="410"/>
      <c r="S266" s="410"/>
      <c r="T266" s="410"/>
      <c r="U266" s="410"/>
      <c r="V266" s="410"/>
      <c r="W266" s="353"/>
    </row>
    <row r="267" spans="1:23" s="354" customFormat="1" ht="23.1" customHeight="1">
      <c r="A267" s="409"/>
      <c r="B267" s="409"/>
      <c r="C267" s="410"/>
      <c r="D267" s="410"/>
      <c r="E267" s="410"/>
      <c r="F267" s="410"/>
      <c r="G267" s="410"/>
      <c r="H267" s="410"/>
      <c r="I267" s="410"/>
      <c r="J267" s="410"/>
      <c r="K267" s="410"/>
      <c r="L267" s="410"/>
      <c r="M267" s="410"/>
      <c r="N267" s="410"/>
      <c r="O267" s="410"/>
      <c r="P267" s="410"/>
      <c r="Q267" s="410"/>
      <c r="R267" s="410"/>
      <c r="S267" s="410"/>
      <c r="T267" s="410"/>
      <c r="U267" s="410"/>
      <c r="V267" s="410"/>
      <c r="W267" s="353"/>
    </row>
    <row r="268" spans="1:23" s="354" customFormat="1" ht="23.1" customHeight="1">
      <c r="A268" s="409"/>
      <c r="B268" s="409"/>
      <c r="C268" s="410"/>
      <c r="D268" s="410"/>
      <c r="E268" s="410"/>
      <c r="F268" s="410"/>
      <c r="G268" s="410"/>
      <c r="H268" s="410"/>
      <c r="I268" s="410"/>
      <c r="J268" s="410"/>
      <c r="K268" s="410"/>
      <c r="L268" s="410"/>
      <c r="M268" s="410"/>
      <c r="N268" s="410"/>
      <c r="O268" s="410"/>
      <c r="P268" s="410"/>
      <c r="Q268" s="410"/>
      <c r="R268" s="410"/>
      <c r="S268" s="410"/>
      <c r="T268" s="410"/>
      <c r="U268" s="410"/>
      <c r="V268" s="410"/>
      <c r="W268" s="353"/>
    </row>
    <row r="269" spans="1:23" s="354" customFormat="1" ht="23.1" customHeight="1">
      <c r="A269" s="409"/>
      <c r="B269" s="409"/>
      <c r="C269" s="410"/>
      <c r="D269" s="410"/>
      <c r="E269" s="410"/>
      <c r="F269" s="410"/>
      <c r="G269" s="410"/>
      <c r="H269" s="410"/>
      <c r="I269" s="410"/>
      <c r="J269" s="410"/>
      <c r="K269" s="410"/>
      <c r="L269" s="410"/>
      <c r="M269" s="410"/>
      <c r="N269" s="410"/>
      <c r="O269" s="410"/>
      <c r="P269" s="410"/>
      <c r="Q269" s="410"/>
      <c r="R269" s="410"/>
      <c r="S269" s="410"/>
      <c r="T269" s="410"/>
      <c r="U269" s="410"/>
      <c r="V269" s="410"/>
      <c r="W269" s="353"/>
    </row>
    <row r="270" spans="1:23" s="354" customFormat="1" ht="23.1" customHeight="1">
      <c r="A270" s="409"/>
      <c r="B270" s="409"/>
      <c r="C270" s="410"/>
      <c r="D270" s="410"/>
      <c r="E270" s="410"/>
      <c r="F270" s="410"/>
      <c r="G270" s="410"/>
      <c r="H270" s="410"/>
      <c r="I270" s="410"/>
      <c r="J270" s="410"/>
      <c r="K270" s="410"/>
      <c r="L270" s="410"/>
      <c r="M270" s="410"/>
      <c r="N270" s="410"/>
      <c r="O270" s="410"/>
      <c r="P270" s="410"/>
      <c r="Q270" s="410"/>
      <c r="R270" s="410"/>
      <c r="S270" s="410"/>
      <c r="T270" s="410"/>
      <c r="U270" s="410"/>
      <c r="V270" s="410"/>
      <c r="W270" s="353"/>
    </row>
    <row r="271" spans="1:23" s="354" customFormat="1" ht="23.1" customHeight="1">
      <c r="A271" s="409"/>
      <c r="B271" s="409"/>
      <c r="C271" s="410"/>
      <c r="D271" s="410"/>
      <c r="E271" s="410"/>
      <c r="F271" s="410"/>
      <c r="G271" s="410"/>
      <c r="H271" s="410"/>
      <c r="I271" s="410"/>
      <c r="J271" s="410"/>
      <c r="K271" s="410"/>
      <c r="L271" s="410"/>
      <c r="M271" s="410"/>
      <c r="N271" s="410"/>
      <c r="O271" s="410"/>
      <c r="P271" s="410"/>
      <c r="Q271" s="410"/>
      <c r="R271" s="410"/>
      <c r="S271" s="410"/>
      <c r="T271" s="410"/>
      <c r="U271" s="410"/>
      <c r="V271" s="410"/>
      <c r="W271" s="353"/>
    </row>
    <row r="272" spans="1:23" s="354" customFormat="1" ht="23.1" customHeight="1">
      <c r="A272" s="409"/>
      <c r="B272" s="409"/>
      <c r="C272" s="410"/>
      <c r="D272" s="410"/>
      <c r="E272" s="410"/>
      <c r="F272" s="410"/>
      <c r="G272" s="410"/>
      <c r="H272" s="410"/>
      <c r="I272" s="410"/>
      <c r="J272" s="410"/>
      <c r="K272" s="410"/>
      <c r="L272" s="410"/>
      <c r="M272" s="410"/>
      <c r="N272" s="410"/>
      <c r="O272" s="410"/>
      <c r="P272" s="410"/>
      <c r="Q272" s="410"/>
      <c r="R272" s="410"/>
      <c r="S272" s="410"/>
      <c r="T272" s="410"/>
      <c r="U272" s="410"/>
      <c r="V272" s="410"/>
      <c r="W272" s="353"/>
    </row>
    <row r="273" spans="1:23" s="354" customFormat="1" ht="23.1" customHeight="1">
      <c r="A273" s="409"/>
      <c r="B273" s="409"/>
      <c r="C273" s="410"/>
      <c r="D273" s="410"/>
      <c r="E273" s="410"/>
      <c r="F273" s="410"/>
      <c r="G273" s="410"/>
      <c r="H273" s="410"/>
      <c r="I273" s="410"/>
      <c r="J273" s="410"/>
      <c r="K273" s="410"/>
      <c r="L273" s="410"/>
      <c r="M273" s="410"/>
      <c r="N273" s="410"/>
      <c r="O273" s="410"/>
      <c r="P273" s="410"/>
      <c r="Q273" s="410"/>
      <c r="R273" s="410"/>
      <c r="S273" s="410"/>
      <c r="T273" s="410"/>
      <c r="U273" s="410"/>
      <c r="V273" s="410"/>
      <c r="W273" s="353"/>
    </row>
    <row r="274" spans="1:23" s="354" customFormat="1" ht="23.1" customHeight="1">
      <c r="A274" s="409"/>
      <c r="B274" s="409"/>
      <c r="C274" s="410"/>
      <c r="D274" s="410"/>
      <c r="E274" s="410"/>
      <c r="F274" s="410"/>
      <c r="G274" s="410"/>
      <c r="H274" s="410"/>
      <c r="I274" s="410"/>
      <c r="J274" s="410"/>
      <c r="K274" s="410"/>
      <c r="L274" s="410"/>
      <c r="M274" s="410"/>
      <c r="N274" s="410"/>
      <c r="O274" s="410"/>
      <c r="P274" s="410"/>
      <c r="Q274" s="410"/>
      <c r="R274" s="410"/>
      <c r="S274" s="410"/>
      <c r="T274" s="410"/>
      <c r="U274" s="410"/>
      <c r="V274" s="410"/>
      <c r="W274" s="353"/>
    </row>
    <row r="275" spans="1:23" s="354" customFormat="1" ht="23.1" customHeight="1">
      <c r="A275" s="409"/>
      <c r="B275" s="409"/>
      <c r="C275" s="410"/>
      <c r="D275" s="410"/>
      <c r="E275" s="410"/>
      <c r="F275" s="410"/>
      <c r="G275" s="410"/>
      <c r="H275" s="410"/>
      <c r="I275" s="410"/>
      <c r="J275" s="410"/>
      <c r="K275" s="410"/>
      <c r="L275" s="410"/>
      <c r="M275" s="410"/>
      <c r="N275" s="410"/>
      <c r="O275" s="410"/>
      <c r="P275" s="410"/>
      <c r="Q275" s="410"/>
      <c r="R275" s="410"/>
      <c r="S275" s="410"/>
      <c r="T275" s="410"/>
      <c r="U275" s="410"/>
      <c r="V275" s="410"/>
      <c r="W275" s="353"/>
    </row>
    <row r="276" spans="1:23" s="354" customFormat="1" ht="23.1" customHeight="1">
      <c r="A276" s="409"/>
      <c r="B276" s="409"/>
      <c r="C276" s="410"/>
      <c r="D276" s="410"/>
      <c r="E276" s="410"/>
      <c r="F276" s="410"/>
      <c r="G276" s="410"/>
      <c r="H276" s="410"/>
      <c r="I276" s="410"/>
      <c r="J276" s="410"/>
      <c r="K276" s="410"/>
      <c r="L276" s="410"/>
      <c r="M276" s="410"/>
      <c r="N276" s="410"/>
      <c r="O276" s="410"/>
      <c r="P276" s="410"/>
      <c r="Q276" s="410"/>
      <c r="R276" s="410"/>
      <c r="S276" s="410"/>
      <c r="T276" s="410"/>
      <c r="U276" s="410"/>
      <c r="V276" s="410"/>
      <c r="W276" s="353"/>
    </row>
    <row r="277" spans="1:23" s="354" customFormat="1" ht="23.1" customHeight="1">
      <c r="A277" s="409"/>
      <c r="B277" s="409"/>
      <c r="C277" s="410"/>
      <c r="D277" s="410"/>
      <c r="E277" s="410"/>
      <c r="F277" s="410"/>
      <c r="G277" s="410"/>
      <c r="H277" s="410"/>
      <c r="I277" s="410"/>
      <c r="J277" s="410"/>
      <c r="K277" s="410"/>
      <c r="L277" s="410"/>
      <c r="M277" s="410"/>
      <c r="N277" s="410"/>
      <c r="O277" s="410"/>
      <c r="P277" s="410"/>
      <c r="Q277" s="410"/>
      <c r="R277" s="410"/>
      <c r="S277" s="410"/>
      <c r="T277" s="410"/>
      <c r="U277" s="410"/>
      <c r="V277" s="410"/>
      <c r="W277" s="353"/>
    </row>
    <row r="278" spans="1:23" s="354" customFormat="1" ht="23.1" customHeight="1">
      <c r="A278" s="409"/>
      <c r="B278" s="409"/>
      <c r="C278" s="410"/>
      <c r="D278" s="410"/>
      <c r="E278" s="410"/>
      <c r="F278" s="410"/>
      <c r="G278" s="410"/>
      <c r="H278" s="410"/>
      <c r="I278" s="410"/>
      <c r="J278" s="410"/>
      <c r="K278" s="410"/>
      <c r="L278" s="410"/>
      <c r="M278" s="410"/>
      <c r="N278" s="410"/>
      <c r="O278" s="410"/>
      <c r="P278" s="410"/>
      <c r="Q278" s="410"/>
      <c r="R278" s="410"/>
      <c r="S278" s="410"/>
      <c r="T278" s="410"/>
      <c r="U278" s="410"/>
      <c r="V278" s="410"/>
      <c r="W278" s="353"/>
    </row>
    <row r="279" spans="1:23" s="354" customFormat="1" ht="23.1" customHeight="1">
      <c r="A279" s="409"/>
      <c r="B279" s="409"/>
      <c r="C279" s="410"/>
      <c r="D279" s="410"/>
      <c r="E279" s="410"/>
      <c r="F279" s="410"/>
      <c r="G279" s="410"/>
      <c r="H279" s="410"/>
      <c r="I279" s="410"/>
      <c r="J279" s="410"/>
      <c r="K279" s="410"/>
      <c r="L279" s="410"/>
      <c r="M279" s="410"/>
      <c r="N279" s="410"/>
      <c r="O279" s="410"/>
      <c r="P279" s="410"/>
      <c r="Q279" s="410"/>
      <c r="R279" s="410"/>
      <c r="S279" s="410"/>
      <c r="T279" s="410"/>
      <c r="U279" s="410"/>
      <c r="V279" s="410"/>
      <c r="W279" s="353"/>
    </row>
    <row r="280" spans="1:23" s="354" customFormat="1" ht="23.1" customHeight="1">
      <c r="A280" s="409"/>
      <c r="B280" s="409"/>
      <c r="C280" s="410"/>
      <c r="D280" s="410"/>
      <c r="E280" s="410"/>
      <c r="F280" s="410"/>
      <c r="G280" s="410"/>
      <c r="H280" s="410"/>
      <c r="I280" s="410"/>
      <c r="J280" s="410"/>
      <c r="K280" s="410"/>
      <c r="L280" s="410"/>
      <c r="M280" s="410"/>
      <c r="N280" s="410"/>
      <c r="O280" s="410"/>
      <c r="P280" s="410"/>
      <c r="Q280" s="410"/>
      <c r="R280" s="410"/>
      <c r="S280" s="410"/>
      <c r="T280" s="410"/>
      <c r="U280" s="410"/>
      <c r="V280" s="410"/>
      <c r="W280" s="353"/>
    </row>
    <row r="281" spans="1:23" s="354" customFormat="1" ht="23.1" customHeight="1">
      <c r="A281" s="409"/>
      <c r="B281" s="409"/>
      <c r="C281" s="410"/>
      <c r="D281" s="410"/>
      <c r="E281" s="410"/>
      <c r="F281" s="410"/>
      <c r="G281" s="410"/>
      <c r="H281" s="410"/>
      <c r="I281" s="410"/>
      <c r="J281" s="410"/>
      <c r="K281" s="410"/>
      <c r="L281" s="410"/>
      <c r="M281" s="410"/>
      <c r="N281" s="410"/>
      <c r="O281" s="410"/>
      <c r="P281" s="410"/>
      <c r="Q281" s="410"/>
      <c r="R281" s="410"/>
      <c r="S281" s="410"/>
      <c r="T281" s="410"/>
      <c r="U281" s="410"/>
      <c r="V281" s="410"/>
      <c r="W281" s="353"/>
    </row>
    <row r="282" spans="1:23" s="354" customFormat="1" ht="23.1" customHeight="1">
      <c r="A282" s="409"/>
      <c r="B282" s="409"/>
      <c r="C282" s="410"/>
      <c r="D282" s="410"/>
      <c r="E282" s="410"/>
      <c r="F282" s="410"/>
      <c r="G282" s="410"/>
      <c r="H282" s="410"/>
      <c r="I282" s="410"/>
      <c r="J282" s="410"/>
      <c r="K282" s="410"/>
      <c r="L282" s="410"/>
      <c r="M282" s="410"/>
      <c r="N282" s="410"/>
      <c r="O282" s="410"/>
      <c r="P282" s="410"/>
      <c r="Q282" s="410"/>
      <c r="R282" s="410"/>
      <c r="S282" s="410"/>
      <c r="T282" s="410"/>
      <c r="U282" s="410"/>
      <c r="V282" s="410"/>
      <c r="W282" s="353"/>
    </row>
    <row r="283" spans="1:23" s="354" customFormat="1" ht="23.1" customHeight="1">
      <c r="A283" s="409"/>
      <c r="B283" s="409"/>
      <c r="C283" s="410"/>
      <c r="D283" s="410"/>
      <c r="E283" s="410"/>
      <c r="F283" s="410"/>
      <c r="G283" s="410"/>
      <c r="H283" s="410"/>
      <c r="I283" s="410"/>
      <c r="J283" s="410"/>
      <c r="K283" s="410"/>
      <c r="L283" s="410"/>
      <c r="M283" s="410"/>
      <c r="N283" s="410"/>
      <c r="O283" s="410"/>
      <c r="P283" s="410"/>
      <c r="Q283" s="410"/>
      <c r="R283" s="410"/>
      <c r="S283" s="410"/>
      <c r="T283" s="410"/>
      <c r="U283" s="410"/>
      <c r="V283" s="410"/>
      <c r="W283" s="353"/>
    </row>
    <row r="284" spans="1:23" s="354" customFormat="1" ht="23.1" customHeight="1">
      <c r="A284" s="409"/>
      <c r="B284" s="409"/>
      <c r="C284" s="410"/>
      <c r="D284" s="410"/>
      <c r="E284" s="410"/>
      <c r="F284" s="410"/>
      <c r="G284" s="410"/>
      <c r="H284" s="410"/>
      <c r="I284" s="410"/>
      <c r="J284" s="410"/>
      <c r="K284" s="410"/>
      <c r="L284" s="410"/>
      <c r="M284" s="410"/>
      <c r="N284" s="410"/>
      <c r="O284" s="410"/>
      <c r="P284" s="410"/>
      <c r="Q284" s="410"/>
      <c r="R284" s="410"/>
      <c r="S284" s="410"/>
      <c r="T284" s="410"/>
      <c r="U284" s="410"/>
      <c r="V284" s="410"/>
      <c r="W284" s="353"/>
    </row>
    <row r="285" spans="1:23" s="354" customFormat="1" ht="23.1" customHeight="1">
      <c r="A285" s="409"/>
      <c r="B285" s="409"/>
      <c r="C285" s="410"/>
      <c r="D285" s="410"/>
      <c r="E285" s="410"/>
      <c r="F285" s="410"/>
      <c r="G285" s="410"/>
      <c r="H285" s="410"/>
      <c r="I285" s="410"/>
      <c r="J285" s="410"/>
      <c r="K285" s="410"/>
      <c r="L285" s="410"/>
      <c r="M285" s="410"/>
      <c r="N285" s="410"/>
      <c r="O285" s="410"/>
      <c r="P285" s="410"/>
      <c r="Q285" s="410"/>
      <c r="R285" s="410"/>
      <c r="S285" s="410"/>
      <c r="T285" s="410"/>
      <c r="U285" s="410"/>
      <c r="V285" s="410"/>
      <c r="W285" s="353"/>
    </row>
    <row r="286" spans="1:23" s="354" customFormat="1" ht="23.1" customHeight="1">
      <c r="A286" s="409"/>
      <c r="B286" s="409"/>
      <c r="C286" s="410"/>
      <c r="D286" s="410"/>
      <c r="E286" s="410"/>
      <c r="F286" s="410"/>
      <c r="G286" s="410"/>
      <c r="H286" s="410"/>
      <c r="I286" s="410"/>
      <c r="J286" s="410"/>
      <c r="K286" s="410"/>
      <c r="L286" s="410"/>
      <c r="M286" s="410"/>
      <c r="N286" s="410"/>
      <c r="O286" s="410"/>
      <c r="P286" s="410"/>
      <c r="Q286" s="410"/>
      <c r="R286" s="410"/>
      <c r="S286" s="410"/>
      <c r="T286" s="410"/>
      <c r="U286" s="410"/>
      <c r="V286" s="410"/>
      <c r="W286" s="353"/>
    </row>
    <row r="287" spans="1:23" s="354" customFormat="1" ht="23.1" customHeight="1">
      <c r="A287" s="409"/>
      <c r="B287" s="409"/>
      <c r="C287" s="410"/>
      <c r="D287" s="410"/>
      <c r="E287" s="410"/>
      <c r="F287" s="410"/>
      <c r="G287" s="410"/>
      <c r="H287" s="410"/>
      <c r="I287" s="410"/>
      <c r="J287" s="410"/>
      <c r="K287" s="410"/>
      <c r="L287" s="410"/>
      <c r="M287" s="410"/>
      <c r="N287" s="410"/>
      <c r="O287" s="410"/>
      <c r="P287" s="410"/>
      <c r="Q287" s="410"/>
      <c r="R287" s="410"/>
      <c r="S287" s="410"/>
      <c r="T287" s="410"/>
      <c r="U287" s="410"/>
      <c r="V287" s="410"/>
      <c r="W287" s="353"/>
    </row>
    <row r="288" spans="1:23" s="354" customFormat="1" ht="23.1" customHeight="1">
      <c r="A288" s="409"/>
      <c r="B288" s="409"/>
      <c r="C288" s="410"/>
      <c r="D288" s="410"/>
      <c r="E288" s="410"/>
      <c r="F288" s="410"/>
      <c r="G288" s="410"/>
      <c r="H288" s="410"/>
      <c r="I288" s="410"/>
      <c r="J288" s="410"/>
      <c r="K288" s="410"/>
      <c r="L288" s="410"/>
      <c r="M288" s="410"/>
      <c r="N288" s="410"/>
      <c r="O288" s="410"/>
      <c r="P288" s="410"/>
      <c r="Q288" s="410"/>
      <c r="R288" s="410"/>
      <c r="S288" s="410"/>
      <c r="T288" s="410"/>
      <c r="U288" s="410"/>
      <c r="V288" s="410"/>
      <c r="W288" s="353"/>
    </row>
    <row r="289" spans="1:23" s="354" customFormat="1" ht="23.1" customHeight="1">
      <c r="A289" s="409"/>
      <c r="B289" s="409"/>
      <c r="C289" s="410"/>
      <c r="D289" s="410"/>
      <c r="E289" s="410"/>
      <c r="F289" s="410"/>
      <c r="G289" s="410"/>
      <c r="H289" s="410"/>
      <c r="I289" s="410"/>
      <c r="J289" s="410"/>
      <c r="K289" s="410"/>
      <c r="L289" s="410"/>
      <c r="M289" s="410"/>
      <c r="N289" s="410"/>
      <c r="O289" s="410"/>
      <c r="P289" s="410"/>
      <c r="Q289" s="410"/>
      <c r="R289" s="410"/>
      <c r="S289" s="410"/>
      <c r="T289" s="410"/>
      <c r="U289" s="410"/>
      <c r="V289" s="410"/>
      <c r="W289" s="353"/>
    </row>
    <row r="290" spans="1:23" s="354" customFormat="1" ht="23.1" customHeight="1">
      <c r="A290" s="409"/>
      <c r="B290" s="409"/>
      <c r="C290" s="410"/>
      <c r="D290" s="410"/>
      <c r="E290" s="410"/>
      <c r="F290" s="410"/>
      <c r="G290" s="410"/>
      <c r="H290" s="410"/>
      <c r="I290" s="410"/>
      <c r="J290" s="410"/>
      <c r="K290" s="410"/>
      <c r="L290" s="410"/>
      <c r="M290" s="410"/>
      <c r="N290" s="410"/>
      <c r="O290" s="410"/>
      <c r="P290" s="410"/>
      <c r="Q290" s="410"/>
      <c r="R290" s="410"/>
      <c r="S290" s="410"/>
      <c r="T290" s="410"/>
      <c r="U290" s="410"/>
      <c r="V290" s="410"/>
      <c r="W290" s="353"/>
    </row>
    <row r="291" spans="1:23" s="354" customFormat="1" ht="23.1" customHeight="1">
      <c r="A291" s="409"/>
      <c r="B291" s="409"/>
      <c r="C291" s="410"/>
      <c r="D291" s="410"/>
      <c r="E291" s="410"/>
      <c r="F291" s="410"/>
      <c r="G291" s="410"/>
      <c r="H291" s="410"/>
      <c r="I291" s="410"/>
      <c r="J291" s="410"/>
      <c r="K291" s="410"/>
      <c r="L291" s="410"/>
      <c r="M291" s="410"/>
      <c r="N291" s="410"/>
      <c r="O291" s="410"/>
      <c r="P291" s="410"/>
      <c r="Q291" s="410"/>
      <c r="R291" s="410"/>
      <c r="S291" s="410"/>
      <c r="T291" s="410"/>
      <c r="U291" s="410"/>
      <c r="V291" s="410"/>
      <c r="W291" s="353"/>
    </row>
    <row r="292" spans="1:23" s="354" customFormat="1" ht="23.1" customHeight="1">
      <c r="A292" s="409"/>
      <c r="B292" s="409"/>
      <c r="C292" s="410"/>
      <c r="D292" s="410"/>
      <c r="E292" s="410"/>
      <c r="F292" s="410"/>
      <c r="G292" s="410"/>
      <c r="H292" s="410"/>
      <c r="I292" s="410"/>
      <c r="J292" s="410"/>
      <c r="K292" s="410"/>
      <c r="L292" s="410"/>
      <c r="M292" s="410"/>
      <c r="N292" s="410"/>
      <c r="O292" s="410"/>
      <c r="P292" s="410"/>
      <c r="Q292" s="410"/>
      <c r="R292" s="410"/>
      <c r="S292" s="410"/>
      <c r="T292" s="410"/>
      <c r="U292" s="410"/>
      <c r="V292" s="410"/>
      <c r="W292" s="353"/>
    </row>
    <row r="293" spans="1:23" s="352" customFormat="1" ht="20.100000000000001" customHeight="1">
      <c r="A293" s="409"/>
      <c r="B293" s="409"/>
      <c r="C293" s="410"/>
      <c r="D293" s="410"/>
      <c r="E293" s="410"/>
      <c r="F293" s="410"/>
      <c r="G293" s="410"/>
      <c r="H293" s="410"/>
      <c r="I293" s="410"/>
      <c r="J293" s="410"/>
      <c r="K293" s="410"/>
      <c r="L293" s="410"/>
      <c r="M293" s="410"/>
      <c r="N293" s="410"/>
      <c r="O293" s="410"/>
      <c r="P293" s="410"/>
      <c r="Q293" s="410"/>
      <c r="R293" s="410"/>
      <c r="S293" s="410"/>
      <c r="T293" s="410"/>
      <c r="U293" s="410"/>
      <c r="V293" s="410"/>
    </row>
    <row r="294" spans="1:23" s="352" customFormat="1" ht="9.9499999999999993" customHeight="1">
      <c r="A294" s="409"/>
      <c r="B294" s="409"/>
      <c r="C294" s="410"/>
      <c r="D294" s="410"/>
      <c r="E294" s="410"/>
      <c r="F294" s="410"/>
      <c r="G294" s="410"/>
      <c r="H294" s="410"/>
      <c r="I294" s="410"/>
      <c r="J294" s="410"/>
      <c r="K294" s="410"/>
      <c r="L294" s="410"/>
      <c r="M294" s="410"/>
      <c r="N294" s="410"/>
      <c r="O294" s="410"/>
      <c r="P294" s="410"/>
      <c r="Q294" s="410"/>
      <c r="R294" s="410"/>
      <c r="S294" s="410"/>
      <c r="T294" s="410"/>
      <c r="U294" s="410"/>
      <c r="V294" s="410"/>
    </row>
    <row r="295" spans="1:23" s="354" customFormat="1" ht="27.95" customHeight="1">
      <c r="A295" s="409"/>
      <c r="B295" s="409"/>
      <c r="C295" s="410"/>
      <c r="D295" s="410"/>
      <c r="E295" s="410"/>
      <c r="F295" s="410"/>
      <c r="G295" s="410"/>
      <c r="H295" s="410"/>
      <c r="I295" s="410"/>
      <c r="J295" s="410"/>
      <c r="K295" s="410"/>
      <c r="L295" s="410"/>
      <c r="M295" s="410"/>
      <c r="N295" s="410"/>
      <c r="O295" s="410"/>
      <c r="P295" s="410"/>
      <c r="Q295" s="410"/>
      <c r="R295" s="410"/>
      <c r="S295" s="410"/>
      <c r="T295" s="410"/>
      <c r="U295" s="410"/>
      <c r="V295" s="410"/>
      <c r="W295" s="353"/>
    </row>
    <row r="296" spans="1:23" s="354" customFormat="1" ht="27.95" customHeight="1">
      <c r="A296" s="409"/>
      <c r="B296" s="409"/>
      <c r="C296" s="410"/>
      <c r="D296" s="410"/>
      <c r="E296" s="410"/>
      <c r="F296" s="410"/>
      <c r="G296" s="410"/>
      <c r="H296" s="410"/>
      <c r="I296" s="410"/>
      <c r="J296" s="410"/>
      <c r="K296" s="410"/>
      <c r="L296" s="410"/>
      <c r="M296" s="410"/>
      <c r="N296" s="410"/>
      <c r="O296" s="410"/>
      <c r="P296" s="410"/>
      <c r="Q296" s="410"/>
      <c r="R296" s="410"/>
      <c r="S296" s="410"/>
      <c r="T296" s="410"/>
      <c r="U296" s="410"/>
      <c r="V296" s="410"/>
      <c r="W296" s="353"/>
    </row>
    <row r="297" spans="1:23" s="354" customFormat="1" ht="23.1" customHeight="1">
      <c r="A297" s="409"/>
      <c r="B297" s="409"/>
      <c r="C297" s="410"/>
      <c r="D297" s="410"/>
      <c r="E297" s="410"/>
      <c r="F297" s="410"/>
      <c r="G297" s="410"/>
      <c r="H297" s="410"/>
      <c r="I297" s="410"/>
      <c r="J297" s="410"/>
      <c r="K297" s="410"/>
      <c r="L297" s="410"/>
      <c r="M297" s="410"/>
      <c r="N297" s="410"/>
      <c r="O297" s="410"/>
      <c r="P297" s="410"/>
      <c r="Q297" s="410"/>
      <c r="R297" s="410"/>
      <c r="S297" s="410"/>
      <c r="T297" s="410"/>
      <c r="U297" s="410"/>
      <c r="V297" s="410"/>
      <c r="W297" s="353"/>
    </row>
    <row r="298" spans="1:23" s="354" customFormat="1" ht="23.1" customHeight="1">
      <c r="A298" s="409"/>
      <c r="B298" s="409"/>
      <c r="C298" s="410"/>
      <c r="D298" s="410"/>
      <c r="E298" s="410"/>
      <c r="F298" s="410"/>
      <c r="G298" s="410"/>
      <c r="H298" s="410"/>
      <c r="I298" s="410"/>
      <c r="J298" s="410"/>
      <c r="K298" s="410"/>
      <c r="L298" s="410"/>
      <c r="M298" s="410"/>
      <c r="N298" s="410"/>
      <c r="O298" s="410"/>
      <c r="P298" s="410"/>
      <c r="Q298" s="410"/>
      <c r="R298" s="410"/>
      <c r="S298" s="410"/>
      <c r="T298" s="410"/>
      <c r="U298" s="410"/>
      <c r="V298" s="410"/>
      <c r="W298" s="353"/>
    </row>
    <row r="299" spans="1:23" s="354" customFormat="1" ht="23.1" customHeight="1">
      <c r="A299" s="409"/>
      <c r="B299" s="409"/>
      <c r="C299" s="410"/>
      <c r="D299" s="410"/>
      <c r="E299" s="410"/>
      <c r="F299" s="410"/>
      <c r="G299" s="410"/>
      <c r="H299" s="410"/>
      <c r="I299" s="410"/>
      <c r="J299" s="410"/>
      <c r="K299" s="410"/>
      <c r="L299" s="410"/>
      <c r="M299" s="410"/>
      <c r="N299" s="410"/>
      <c r="O299" s="410"/>
      <c r="P299" s="410"/>
      <c r="Q299" s="410"/>
      <c r="R299" s="410"/>
      <c r="S299" s="410"/>
      <c r="T299" s="410"/>
      <c r="U299" s="410"/>
      <c r="V299" s="410"/>
      <c r="W299" s="353"/>
    </row>
    <row r="300" spans="1:23" s="354" customFormat="1" ht="23.1" customHeight="1">
      <c r="A300" s="409"/>
      <c r="B300" s="409"/>
      <c r="C300" s="410"/>
      <c r="D300" s="410"/>
      <c r="E300" s="410"/>
      <c r="F300" s="410"/>
      <c r="G300" s="410"/>
      <c r="H300" s="410"/>
      <c r="I300" s="410"/>
      <c r="J300" s="410"/>
      <c r="K300" s="410"/>
      <c r="L300" s="410"/>
      <c r="M300" s="410"/>
      <c r="N300" s="410"/>
      <c r="O300" s="410"/>
      <c r="P300" s="410"/>
      <c r="Q300" s="410"/>
      <c r="R300" s="410"/>
      <c r="S300" s="410"/>
      <c r="T300" s="410"/>
      <c r="U300" s="410"/>
      <c r="V300" s="410"/>
      <c r="W300" s="353"/>
    </row>
    <row r="301" spans="1:23" s="354" customFormat="1" ht="23.1" customHeight="1">
      <c r="A301" s="409"/>
      <c r="B301" s="409"/>
      <c r="C301" s="410"/>
      <c r="D301" s="410"/>
      <c r="E301" s="410"/>
      <c r="F301" s="410"/>
      <c r="G301" s="410"/>
      <c r="H301" s="410"/>
      <c r="I301" s="410"/>
      <c r="J301" s="410"/>
      <c r="K301" s="410"/>
      <c r="L301" s="410"/>
      <c r="M301" s="410"/>
      <c r="N301" s="410"/>
      <c r="O301" s="410"/>
      <c r="P301" s="410"/>
      <c r="Q301" s="410"/>
      <c r="R301" s="410"/>
      <c r="S301" s="410"/>
      <c r="T301" s="410"/>
      <c r="U301" s="410"/>
      <c r="V301" s="410"/>
      <c r="W301" s="353"/>
    </row>
    <row r="302" spans="1:23" s="354" customFormat="1" ht="23.1" customHeight="1">
      <c r="A302" s="409"/>
      <c r="B302" s="409"/>
      <c r="C302" s="410"/>
      <c r="D302" s="410"/>
      <c r="E302" s="410"/>
      <c r="F302" s="410"/>
      <c r="G302" s="410"/>
      <c r="H302" s="410"/>
      <c r="I302" s="410"/>
      <c r="J302" s="410"/>
      <c r="K302" s="410"/>
      <c r="L302" s="410"/>
      <c r="M302" s="410"/>
      <c r="N302" s="410"/>
      <c r="O302" s="410"/>
      <c r="P302" s="410"/>
      <c r="Q302" s="410"/>
      <c r="R302" s="410"/>
      <c r="S302" s="410"/>
      <c r="T302" s="410"/>
      <c r="U302" s="410"/>
      <c r="V302" s="410"/>
      <c r="W302" s="353"/>
    </row>
    <row r="303" spans="1:23" s="354" customFormat="1" ht="23.1" customHeight="1">
      <c r="A303" s="409"/>
      <c r="B303" s="409"/>
      <c r="C303" s="410"/>
      <c r="D303" s="410"/>
      <c r="E303" s="410"/>
      <c r="F303" s="410"/>
      <c r="G303" s="410"/>
      <c r="H303" s="410"/>
      <c r="I303" s="410"/>
      <c r="J303" s="410"/>
      <c r="K303" s="410"/>
      <c r="L303" s="410"/>
      <c r="M303" s="410"/>
      <c r="N303" s="410"/>
      <c r="O303" s="410"/>
      <c r="P303" s="410"/>
      <c r="Q303" s="410"/>
      <c r="R303" s="410"/>
      <c r="S303" s="410"/>
      <c r="T303" s="410"/>
      <c r="U303" s="410"/>
      <c r="V303" s="410"/>
      <c r="W303" s="353"/>
    </row>
    <row r="304" spans="1:23" s="354" customFormat="1" ht="23.1" customHeight="1">
      <c r="A304" s="409"/>
      <c r="B304" s="409"/>
      <c r="C304" s="410"/>
      <c r="D304" s="410"/>
      <c r="E304" s="410"/>
      <c r="F304" s="410"/>
      <c r="G304" s="410"/>
      <c r="H304" s="410"/>
      <c r="I304" s="410"/>
      <c r="J304" s="410"/>
      <c r="K304" s="410"/>
      <c r="L304" s="410"/>
      <c r="M304" s="410"/>
      <c r="N304" s="410"/>
      <c r="O304" s="410"/>
      <c r="P304" s="410"/>
      <c r="Q304" s="410"/>
      <c r="R304" s="410"/>
      <c r="S304" s="410"/>
      <c r="T304" s="410"/>
      <c r="U304" s="410"/>
      <c r="V304" s="410"/>
      <c r="W304" s="353"/>
    </row>
    <row r="305" spans="1:23" s="354" customFormat="1" ht="23.1" customHeight="1">
      <c r="A305" s="409"/>
      <c r="B305" s="409"/>
      <c r="C305" s="410"/>
      <c r="D305" s="410"/>
      <c r="E305" s="410"/>
      <c r="F305" s="410"/>
      <c r="G305" s="410"/>
      <c r="H305" s="410"/>
      <c r="I305" s="410"/>
      <c r="J305" s="410"/>
      <c r="K305" s="410"/>
      <c r="L305" s="410"/>
      <c r="M305" s="410"/>
      <c r="N305" s="410"/>
      <c r="O305" s="410"/>
      <c r="P305" s="410"/>
      <c r="Q305" s="410"/>
      <c r="R305" s="410"/>
      <c r="S305" s="410"/>
      <c r="T305" s="410"/>
      <c r="U305" s="410"/>
      <c r="V305" s="410"/>
      <c r="W305" s="353"/>
    </row>
    <row r="306" spans="1:23" s="354" customFormat="1" ht="23.1" customHeight="1">
      <c r="A306" s="409"/>
      <c r="B306" s="409"/>
      <c r="C306" s="410"/>
      <c r="D306" s="410"/>
      <c r="E306" s="410"/>
      <c r="F306" s="410"/>
      <c r="G306" s="410"/>
      <c r="H306" s="410"/>
      <c r="I306" s="410"/>
      <c r="J306" s="410"/>
      <c r="K306" s="410"/>
      <c r="L306" s="410"/>
      <c r="M306" s="410"/>
      <c r="N306" s="410"/>
      <c r="O306" s="410"/>
      <c r="P306" s="410"/>
      <c r="Q306" s="410"/>
      <c r="R306" s="410"/>
      <c r="S306" s="410"/>
      <c r="T306" s="410"/>
      <c r="U306" s="410"/>
      <c r="V306" s="410"/>
      <c r="W306" s="353"/>
    </row>
    <row r="307" spans="1:23" s="354" customFormat="1" ht="23.1" customHeight="1">
      <c r="A307" s="409"/>
      <c r="B307" s="409"/>
      <c r="C307" s="410"/>
      <c r="D307" s="410"/>
      <c r="E307" s="410"/>
      <c r="F307" s="410"/>
      <c r="G307" s="410"/>
      <c r="H307" s="410"/>
      <c r="I307" s="410"/>
      <c r="J307" s="410"/>
      <c r="K307" s="410"/>
      <c r="L307" s="410"/>
      <c r="M307" s="410"/>
      <c r="N307" s="410"/>
      <c r="O307" s="410"/>
      <c r="P307" s="410"/>
      <c r="Q307" s="410"/>
      <c r="R307" s="410"/>
      <c r="S307" s="410"/>
      <c r="T307" s="410"/>
      <c r="U307" s="410"/>
      <c r="V307" s="410"/>
      <c r="W307" s="353"/>
    </row>
    <row r="308" spans="1:23" s="354" customFormat="1" ht="23.1" customHeight="1">
      <c r="A308" s="409"/>
      <c r="B308" s="409"/>
      <c r="C308" s="410"/>
      <c r="D308" s="410"/>
      <c r="E308" s="410"/>
      <c r="F308" s="410"/>
      <c r="G308" s="410"/>
      <c r="H308" s="410"/>
      <c r="I308" s="410"/>
      <c r="J308" s="410"/>
      <c r="K308" s="410"/>
      <c r="L308" s="410"/>
      <c r="M308" s="410"/>
      <c r="N308" s="410"/>
      <c r="O308" s="410"/>
      <c r="P308" s="410"/>
      <c r="Q308" s="410"/>
      <c r="R308" s="410"/>
      <c r="S308" s="410"/>
      <c r="T308" s="410"/>
      <c r="U308" s="410"/>
      <c r="V308" s="410"/>
      <c r="W308" s="353"/>
    </row>
    <row r="309" spans="1:23" s="354" customFormat="1" ht="23.1" customHeight="1">
      <c r="A309" s="409"/>
      <c r="B309" s="409"/>
      <c r="C309" s="410"/>
      <c r="D309" s="410"/>
      <c r="E309" s="410"/>
      <c r="F309" s="410"/>
      <c r="G309" s="410"/>
      <c r="H309" s="410"/>
      <c r="I309" s="410"/>
      <c r="J309" s="410"/>
      <c r="K309" s="410"/>
      <c r="L309" s="410"/>
      <c r="M309" s="410"/>
      <c r="N309" s="410"/>
      <c r="O309" s="410"/>
      <c r="P309" s="410"/>
      <c r="Q309" s="410"/>
      <c r="R309" s="410"/>
      <c r="S309" s="410"/>
      <c r="T309" s="410"/>
      <c r="U309" s="410"/>
      <c r="V309" s="410"/>
      <c r="W309" s="353"/>
    </row>
    <row r="310" spans="1:23" s="354" customFormat="1" ht="23.1" customHeight="1">
      <c r="A310" s="409"/>
      <c r="B310" s="409"/>
      <c r="C310" s="410"/>
      <c r="D310" s="410"/>
      <c r="E310" s="410"/>
      <c r="F310" s="410"/>
      <c r="G310" s="410"/>
      <c r="H310" s="410"/>
      <c r="I310" s="410"/>
      <c r="J310" s="410"/>
      <c r="K310" s="410"/>
      <c r="L310" s="410"/>
      <c r="M310" s="410"/>
      <c r="N310" s="410"/>
      <c r="O310" s="410"/>
      <c r="P310" s="410"/>
      <c r="Q310" s="410"/>
      <c r="R310" s="410"/>
      <c r="S310" s="410"/>
      <c r="T310" s="410"/>
      <c r="U310" s="410"/>
      <c r="V310" s="410"/>
      <c r="W310" s="353"/>
    </row>
    <row r="311" spans="1:23" s="354" customFormat="1" ht="23.1" customHeight="1">
      <c r="A311" s="409"/>
      <c r="B311" s="409"/>
      <c r="C311" s="410"/>
      <c r="D311" s="410"/>
      <c r="E311" s="410"/>
      <c r="F311" s="410"/>
      <c r="G311" s="410"/>
      <c r="H311" s="410"/>
      <c r="I311" s="410"/>
      <c r="J311" s="410"/>
      <c r="K311" s="410"/>
      <c r="L311" s="410"/>
      <c r="M311" s="410"/>
      <c r="N311" s="410"/>
      <c r="O311" s="410"/>
      <c r="P311" s="410"/>
      <c r="Q311" s="410"/>
      <c r="R311" s="410"/>
      <c r="S311" s="410"/>
      <c r="T311" s="410"/>
      <c r="U311" s="410"/>
      <c r="V311" s="410"/>
      <c r="W311" s="353"/>
    </row>
    <row r="312" spans="1:23" s="354" customFormat="1" ht="23.1" customHeight="1">
      <c r="A312" s="409"/>
      <c r="B312" s="409"/>
      <c r="C312" s="410"/>
      <c r="D312" s="410"/>
      <c r="E312" s="410"/>
      <c r="F312" s="410"/>
      <c r="G312" s="410"/>
      <c r="H312" s="410"/>
      <c r="I312" s="410"/>
      <c r="J312" s="410"/>
      <c r="K312" s="410"/>
      <c r="L312" s="410"/>
      <c r="M312" s="410"/>
      <c r="N312" s="410"/>
      <c r="O312" s="410"/>
      <c r="P312" s="410"/>
      <c r="Q312" s="410"/>
      <c r="R312" s="410"/>
      <c r="S312" s="410"/>
      <c r="T312" s="410"/>
      <c r="U312" s="410"/>
      <c r="V312" s="410"/>
      <c r="W312" s="353"/>
    </row>
    <row r="313" spans="1:23" s="354" customFormat="1" ht="23.1" customHeight="1">
      <c r="A313" s="409"/>
      <c r="B313" s="409"/>
      <c r="C313" s="410"/>
      <c r="D313" s="410"/>
      <c r="E313" s="410"/>
      <c r="F313" s="410"/>
      <c r="G313" s="410"/>
      <c r="H313" s="410"/>
      <c r="I313" s="410"/>
      <c r="J313" s="410"/>
      <c r="K313" s="410"/>
      <c r="L313" s="410"/>
      <c r="M313" s="410"/>
      <c r="N313" s="410"/>
      <c r="O313" s="410"/>
      <c r="P313" s="410"/>
      <c r="Q313" s="410"/>
      <c r="R313" s="410"/>
      <c r="S313" s="410"/>
      <c r="T313" s="410"/>
      <c r="U313" s="410"/>
      <c r="V313" s="410"/>
      <c r="W313" s="353"/>
    </row>
    <row r="314" spans="1:23" s="354" customFormat="1" ht="23.1" customHeight="1">
      <c r="A314" s="409"/>
      <c r="B314" s="409"/>
      <c r="C314" s="410"/>
      <c r="D314" s="410"/>
      <c r="E314" s="410"/>
      <c r="F314" s="410"/>
      <c r="G314" s="410"/>
      <c r="H314" s="410"/>
      <c r="I314" s="410"/>
      <c r="J314" s="410"/>
      <c r="K314" s="410"/>
      <c r="L314" s="410"/>
      <c r="M314" s="410"/>
      <c r="N314" s="410"/>
      <c r="O314" s="410"/>
      <c r="P314" s="410"/>
      <c r="Q314" s="410"/>
      <c r="R314" s="410"/>
      <c r="S314" s="410"/>
      <c r="T314" s="410"/>
      <c r="U314" s="410"/>
      <c r="V314" s="410"/>
      <c r="W314" s="353"/>
    </row>
    <row r="315" spans="1:23" s="354" customFormat="1" ht="23.1" customHeight="1">
      <c r="A315" s="409"/>
      <c r="B315" s="409"/>
      <c r="C315" s="410"/>
      <c r="D315" s="410"/>
      <c r="E315" s="410"/>
      <c r="F315" s="410"/>
      <c r="G315" s="410"/>
      <c r="H315" s="410"/>
      <c r="I315" s="410"/>
      <c r="J315" s="410"/>
      <c r="K315" s="410"/>
      <c r="L315" s="410"/>
      <c r="M315" s="410"/>
      <c r="N315" s="410"/>
      <c r="O315" s="410"/>
      <c r="P315" s="410"/>
      <c r="Q315" s="410"/>
      <c r="R315" s="410"/>
      <c r="S315" s="410"/>
      <c r="T315" s="410"/>
      <c r="U315" s="410"/>
      <c r="V315" s="410"/>
      <c r="W315" s="353"/>
    </row>
    <row r="316" spans="1:23" s="354" customFormat="1" ht="23.1" customHeight="1">
      <c r="A316" s="409"/>
      <c r="B316" s="409"/>
      <c r="C316" s="410"/>
      <c r="D316" s="410"/>
      <c r="E316" s="410"/>
      <c r="F316" s="410"/>
      <c r="G316" s="410"/>
      <c r="H316" s="410"/>
      <c r="I316" s="410"/>
      <c r="J316" s="410"/>
      <c r="K316" s="410"/>
      <c r="L316" s="410"/>
      <c r="M316" s="410"/>
      <c r="N316" s="410"/>
      <c r="O316" s="410"/>
      <c r="P316" s="410"/>
      <c r="Q316" s="410"/>
      <c r="R316" s="410"/>
      <c r="S316" s="410"/>
      <c r="T316" s="410"/>
      <c r="U316" s="410"/>
      <c r="V316" s="410"/>
      <c r="W316" s="353"/>
    </row>
    <row r="317" spans="1:23" s="354" customFormat="1" ht="23.1" customHeight="1">
      <c r="A317" s="409"/>
      <c r="B317" s="409"/>
      <c r="C317" s="410"/>
      <c r="D317" s="410"/>
      <c r="E317" s="410"/>
      <c r="F317" s="410"/>
      <c r="G317" s="410"/>
      <c r="H317" s="410"/>
      <c r="I317" s="410"/>
      <c r="J317" s="410"/>
      <c r="K317" s="410"/>
      <c r="L317" s="410"/>
      <c r="M317" s="410"/>
      <c r="N317" s="410"/>
      <c r="O317" s="410"/>
      <c r="P317" s="410"/>
      <c r="Q317" s="410"/>
      <c r="R317" s="410"/>
      <c r="S317" s="410"/>
      <c r="T317" s="410"/>
      <c r="U317" s="410"/>
      <c r="V317" s="410"/>
      <c r="W317" s="353"/>
    </row>
    <row r="318" spans="1:23" s="354" customFormat="1" ht="23.1" customHeight="1">
      <c r="A318" s="409"/>
      <c r="B318" s="409"/>
      <c r="C318" s="410"/>
      <c r="D318" s="410"/>
      <c r="E318" s="410"/>
      <c r="F318" s="410"/>
      <c r="G318" s="410"/>
      <c r="H318" s="410"/>
      <c r="I318" s="410"/>
      <c r="J318" s="410"/>
      <c r="K318" s="410"/>
      <c r="L318" s="410"/>
      <c r="M318" s="410"/>
      <c r="N318" s="410"/>
      <c r="O318" s="410"/>
      <c r="P318" s="410"/>
      <c r="Q318" s="410"/>
      <c r="R318" s="410"/>
      <c r="S318" s="410"/>
      <c r="T318" s="410"/>
      <c r="U318" s="410"/>
      <c r="V318" s="410"/>
      <c r="W318" s="353"/>
    </row>
    <row r="319" spans="1:23" s="354" customFormat="1" ht="23.1" customHeight="1">
      <c r="A319" s="409"/>
      <c r="B319" s="409"/>
      <c r="C319" s="410"/>
      <c r="D319" s="410"/>
      <c r="E319" s="410"/>
      <c r="F319" s="410"/>
      <c r="G319" s="410"/>
      <c r="H319" s="410"/>
      <c r="I319" s="410"/>
      <c r="J319" s="410"/>
      <c r="K319" s="410"/>
      <c r="L319" s="410"/>
      <c r="M319" s="410"/>
      <c r="N319" s="410"/>
      <c r="O319" s="410"/>
      <c r="P319" s="410"/>
      <c r="Q319" s="410"/>
      <c r="R319" s="410"/>
      <c r="S319" s="410"/>
      <c r="T319" s="410"/>
      <c r="U319" s="410"/>
      <c r="V319" s="410"/>
      <c r="W319" s="353"/>
    </row>
    <row r="320" spans="1:23" s="354" customFormat="1" ht="23.1" customHeight="1">
      <c r="A320" s="409"/>
      <c r="B320" s="409"/>
      <c r="C320" s="410"/>
      <c r="D320" s="410"/>
      <c r="E320" s="410"/>
      <c r="F320" s="410"/>
      <c r="G320" s="410"/>
      <c r="H320" s="410"/>
      <c r="I320" s="410"/>
      <c r="J320" s="410"/>
      <c r="K320" s="410"/>
      <c r="L320" s="410"/>
      <c r="M320" s="410"/>
      <c r="N320" s="410"/>
      <c r="O320" s="410"/>
      <c r="P320" s="410"/>
      <c r="Q320" s="410"/>
      <c r="R320" s="410"/>
      <c r="S320" s="410"/>
      <c r="T320" s="410"/>
      <c r="U320" s="410"/>
      <c r="V320" s="410"/>
      <c r="W320" s="353"/>
    </row>
    <row r="321" spans="1:23" s="354" customFormat="1" ht="23.1" customHeight="1">
      <c r="A321" s="409"/>
      <c r="B321" s="409"/>
      <c r="C321" s="410"/>
      <c r="D321" s="410"/>
      <c r="E321" s="410"/>
      <c r="F321" s="410"/>
      <c r="G321" s="410"/>
      <c r="H321" s="410"/>
      <c r="I321" s="410"/>
      <c r="J321" s="410"/>
      <c r="K321" s="410"/>
      <c r="L321" s="410"/>
      <c r="M321" s="410"/>
      <c r="N321" s="410"/>
      <c r="O321" s="410"/>
      <c r="P321" s="410"/>
      <c r="Q321" s="410"/>
      <c r="R321" s="410"/>
      <c r="S321" s="410"/>
      <c r="T321" s="410"/>
      <c r="U321" s="410"/>
      <c r="V321" s="410"/>
      <c r="W321" s="353"/>
    </row>
    <row r="322" spans="1:23" s="354" customFormat="1" ht="23.1" customHeight="1">
      <c r="A322" s="409"/>
      <c r="B322" s="409"/>
      <c r="C322" s="410"/>
      <c r="D322" s="410"/>
      <c r="E322" s="410"/>
      <c r="F322" s="410"/>
      <c r="G322" s="410"/>
      <c r="H322" s="410"/>
      <c r="I322" s="410"/>
      <c r="J322" s="410"/>
      <c r="K322" s="410"/>
      <c r="L322" s="410"/>
      <c r="M322" s="410"/>
      <c r="N322" s="410"/>
      <c r="O322" s="410"/>
      <c r="P322" s="410"/>
      <c r="Q322" s="410"/>
      <c r="R322" s="410"/>
      <c r="S322" s="410"/>
      <c r="T322" s="410"/>
      <c r="U322" s="410"/>
      <c r="V322" s="410"/>
      <c r="W322" s="353"/>
    </row>
    <row r="323" spans="1:23" s="352" customFormat="1" ht="20.100000000000001" customHeight="1">
      <c r="A323" s="409"/>
      <c r="B323" s="409"/>
      <c r="C323" s="410"/>
      <c r="D323" s="410"/>
      <c r="E323" s="410"/>
      <c r="F323" s="410"/>
      <c r="G323" s="410"/>
      <c r="H323" s="410"/>
      <c r="I323" s="410"/>
      <c r="J323" s="410"/>
      <c r="K323" s="410"/>
      <c r="L323" s="410"/>
      <c r="M323" s="410"/>
      <c r="N323" s="410"/>
      <c r="O323" s="410"/>
      <c r="P323" s="410"/>
      <c r="Q323" s="410"/>
      <c r="R323" s="410"/>
      <c r="S323" s="410"/>
      <c r="T323" s="410"/>
      <c r="U323" s="410"/>
      <c r="V323" s="410"/>
    </row>
    <row r="324" spans="1:23" s="352" customFormat="1" ht="9.9499999999999993" customHeight="1">
      <c r="A324" s="409"/>
      <c r="B324" s="409"/>
      <c r="C324" s="410"/>
      <c r="D324" s="410"/>
      <c r="E324" s="410"/>
      <c r="F324" s="410"/>
      <c r="G324" s="410"/>
      <c r="H324" s="410"/>
      <c r="I324" s="410"/>
      <c r="J324" s="410"/>
      <c r="K324" s="410"/>
      <c r="L324" s="410"/>
      <c r="M324" s="410"/>
      <c r="N324" s="410"/>
      <c r="O324" s="410"/>
      <c r="P324" s="410"/>
      <c r="Q324" s="410"/>
      <c r="R324" s="410"/>
      <c r="S324" s="410"/>
      <c r="T324" s="410"/>
      <c r="U324" s="410"/>
      <c r="V324" s="410"/>
    </row>
    <row r="325" spans="1:23" s="354" customFormat="1" ht="27.95" customHeight="1">
      <c r="A325" s="409"/>
      <c r="B325" s="409"/>
      <c r="C325" s="410"/>
      <c r="D325" s="410"/>
      <c r="E325" s="410"/>
      <c r="F325" s="410"/>
      <c r="G325" s="410"/>
      <c r="H325" s="410"/>
      <c r="I325" s="410"/>
      <c r="J325" s="410"/>
      <c r="K325" s="410"/>
      <c r="L325" s="410"/>
      <c r="M325" s="410"/>
      <c r="N325" s="410"/>
      <c r="O325" s="410"/>
      <c r="P325" s="410"/>
      <c r="Q325" s="410"/>
      <c r="R325" s="410"/>
      <c r="S325" s="410"/>
      <c r="T325" s="410"/>
      <c r="U325" s="410"/>
      <c r="V325" s="410"/>
      <c r="W325" s="353"/>
    </row>
    <row r="326" spans="1:23" s="354" customFormat="1" ht="27.95" customHeight="1">
      <c r="A326" s="409"/>
      <c r="B326" s="409"/>
      <c r="C326" s="410"/>
      <c r="D326" s="410"/>
      <c r="E326" s="410"/>
      <c r="F326" s="410"/>
      <c r="G326" s="410"/>
      <c r="H326" s="410"/>
      <c r="I326" s="410"/>
      <c r="J326" s="410"/>
      <c r="K326" s="410"/>
      <c r="L326" s="410"/>
      <c r="M326" s="410"/>
      <c r="N326" s="410"/>
      <c r="O326" s="410"/>
      <c r="P326" s="410"/>
      <c r="Q326" s="410"/>
      <c r="R326" s="410"/>
      <c r="S326" s="410"/>
      <c r="T326" s="410"/>
      <c r="U326" s="410"/>
      <c r="V326" s="410"/>
      <c r="W326" s="353"/>
    </row>
    <row r="327" spans="1:23" s="354" customFormat="1" ht="23.1" customHeight="1">
      <c r="A327" s="409"/>
      <c r="B327" s="409"/>
      <c r="C327" s="410"/>
      <c r="D327" s="410"/>
      <c r="E327" s="410"/>
      <c r="F327" s="410"/>
      <c r="G327" s="410"/>
      <c r="H327" s="410"/>
      <c r="I327" s="410"/>
      <c r="J327" s="410"/>
      <c r="K327" s="410"/>
      <c r="L327" s="410"/>
      <c r="M327" s="410"/>
      <c r="N327" s="410"/>
      <c r="O327" s="410"/>
      <c r="P327" s="410"/>
      <c r="Q327" s="410"/>
      <c r="R327" s="410"/>
      <c r="S327" s="410"/>
      <c r="T327" s="410"/>
      <c r="U327" s="410"/>
      <c r="V327" s="410"/>
      <c r="W327" s="353"/>
    </row>
    <row r="328" spans="1:23" s="354" customFormat="1" ht="23.1" customHeight="1">
      <c r="A328" s="409"/>
      <c r="B328" s="409"/>
      <c r="C328" s="410"/>
      <c r="D328" s="410"/>
      <c r="E328" s="410"/>
      <c r="F328" s="410"/>
      <c r="G328" s="410"/>
      <c r="H328" s="410"/>
      <c r="I328" s="410"/>
      <c r="J328" s="410"/>
      <c r="K328" s="410"/>
      <c r="L328" s="410"/>
      <c r="M328" s="410"/>
      <c r="N328" s="410"/>
      <c r="O328" s="410"/>
      <c r="P328" s="410"/>
      <c r="Q328" s="410"/>
      <c r="R328" s="410"/>
      <c r="S328" s="410"/>
      <c r="T328" s="410"/>
      <c r="U328" s="410"/>
      <c r="V328" s="410"/>
      <c r="W328" s="353"/>
    </row>
    <row r="329" spans="1:23" s="354" customFormat="1" ht="23.1" customHeight="1">
      <c r="A329" s="409"/>
      <c r="B329" s="409"/>
      <c r="C329" s="410"/>
      <c r="D329" s="410"/>
      <c r="E329" s="410"/>
      <c r="F329" s="410"/>
      <c r="G329" s="410"/>
      <c r="H329" s="410"/>
      <c r="I329" s="410"/>
      <c r="J329" s="410"/>
      <c r="K329" s="410"/>
      <c r="L329" s="410"/>
      <c r="M329" s="410"/>
      <c r="N329" s="410"/>
      <c r="O329" s="410"/>
      <c r="P329" s="410"/>
      <c r="Q329" s="410"/>
      <c r="R329" s="410"/>
      <c r="S329" s="410"/>
      <c r="T329" s="410"/>
      <c r="U329" s="410"/>
      <c r="V329" s="410"/>
      <c r="W329" s="353"/>
    </row>
    <row r="330" spans="1:23" s="354" customFormat="1" ht="23.1" customHeight="1">
      <c r="A330" s="409"/>
      <c r="B330" s="409"/>
      <c r="C330" s="410"/>
      <c r="D330" s="410"/>
      <c r="E330" s="410"/>
      <c r="F330" s="410"/>
      <c r="G330" s="410"/>
      <c r="H330" s="410"/>
      <c r="I330" s="410"/>
      <c r="J330" s="410"/>
      <c r="K330" s="410"/>
      <c r="L330" s="410"/>
      <c r="M330" s="410"/>
      <c r="N330" s="410"/>
      <c r="O330" s="410"/>
      <c r="P330" s="410"/>
      <c r="Q330" s="410"/>
      <c r="R330" s="410"/>
      <c r="S330" s="410"/>
      <c r="T330" s="410"/>
      <c r="U330" s="410"/>
      <c r="V330" s="410"/>
      <c r="W330" s="353"/>
    </row>
    <row r="331" spans="1:23" s="354" customFormat="1" ht="23.1" customHeight="1">
      <c r="A331" s="409"/>
      <c r="B331" s="409"/>
      <c r="C331" s="410"/>
      <c r="D331" s="410"/>
      <c r="E331" s="410"/>
      <c r="F331" s="410"/>
      <c r="G331" s="410"/>
      <c r="H331" s="410"/>
      <c r="I331" s="410"/>
      <c r="J331" s="410"/>
      <c r="K331" s="410"/>
      <c r="L331" s="410"/>
      <c r="M331" s="410"/>
      <c r="N331" s="410"/>
      <c r="O331" s="410"/>
      <c r="P331" s="410"/>
      <c r="Q331" s="410"/>
      <c r="R331" s="410"/>
      <c r="S331" s="410"/>
      <c r="T331" s="410"/>
      <c r="U331" s="410"/>
      <c r="V331" s="410"/>
      <c r="W331" s="353"/>
    </row>
    <row r="332" spans="1:23" s="354" customFormat="1" ht="23.1" customHeight="1">
      <c r="A332" s="409"/>
      <c r="B332" s="409"/>
      <c r="C332" s="410"/>
      <c r="D332" s="410"/>
      <c r="E332" s="410"/>
      <c r="F332" s="410"/>
      <c r="G332" s="410"/>
      <c r="H332" s="410"/>
      <c r="I332" s="410"/>
      <c r="J332" s="410"/>
      <c r="K332" s="410"/>
      <c r="L332" s="410"/>
      <c r="M332" s="410"/>
      <c r="N332" s="410"/>
      <c r="O332" s="410"/>
      <c r="P332" s="410"/>
      <c r="Q332" s="410"/>
      <c r="R332" s="410"/>
      <c r="S332" s="410"/>
      <c r="T332" s="410"/>
      <c r="U332" s="410"/>
      <c r="V332" s="410"/>
      <c r="W332" s="353"/>
    </row>
    <row r="333" spans="1:23" s="354" customFormat="1" ht="23.1" customHeight="1">
      <c r="A333" s="409"/>
      <c r="B333" s="409"/>
      <c r="C333" s="410"/>
      <c r="D333" s="410"/>
      <c r="E333" s="410"/>
      <c r="F333" s="410"/>
      <c r="G333" s="410"/>
      <c r="H333" s="410"/>
      <c r="I333" s="410"/>
      <c r="J333" s="410"/>
      <c r="K333" s="410"/>
      <c r="L333" s="410"/>
      <c r="M333" s="410"/>
      <c r="N333" s="410"/>
      <c r="O333" s="410"/>
      <c r="P333" s="410"/>
      <c r="Q333" s="410"/>
      <c r="R333" s="410"/>
      <c r="S333" s="410"/>
      <c r="T333" s="410"/>
      <c r="U333" s="410"/>
      <c r="V333" s="410"/>
      <c r="W333" s="353"/>
    </row>
    <row r="334" spans="1:23" s="354" customFormat="1" ht="23.1" customHeight="1">
      <c r="A334" s="409"/>
      <c r="B334" s="409"/>
      <c r="C334" s="410"/>
      <c r="D334" s="410"/>
      <c r="E334" s="410"/>
      <c r="F334" s="410"/>
      <c r="G334" s="410"/>
      <c r="H334" s="410"/>
      <c r="I334" s="410"/>
      <c r="J334" s="410"/>
      <c r="K334" s="410"/>
      <c r="L334" s="410"/>
      <c r="M334" s="410"/>
      <c r="N334" s="410"/>
      <c r="O334" s="410"/>
      <c r="P334" s="410"/>
      <c r="Q334" s="410"/>
      <c r="R334" s="410"/>
      <c r="S334" s="410"/>
      <c r="T334" s="410"/>
      <c r="U334" s="410"/>
      <c r="V334" s="410"/>
      <c r="W334" s="353"/>
    </row>
    <row r="335" spans="1:23" s="354" customFormat="1" ht="23.1" customHeight="1">
      <c r="A335" s="409"/>
      <c r="B335" s="409"/>
      <c r="C335" s="410"/>
      <c r="D335" s="410"/>
      <c r="E335" s="410"/>
      <c r="F335" s="410"/>
      <c r="G335" s="410"/>
      <c r="H335" s="410"/>
      <c r="I335" s="410"/>
      <c r="J335" s="410"/>
      <c r="K335" s="410"/>
      <c r="L335" s="410"/>
      <c r="M335" s="410"/>
      <c r="N335" s="410"/>
      <c r="O335" s="410"/>
      <c r="P335" s="410"/>
      <c r="Q335" s="410"/>
      <c r="R335" s="410"/>
      <c r="S335" s="410"/>
      <c r="T335" s="410"/>
      <c r="U335" s="410"/>
      <c r="V335" s="410"/>
      <c r="W335" s="353"/>
    </row>
    <row r="336" spans="1:23" s="354" customFormat="1" ht="23.1" customHeight="1">
      <c r="A336" s="409"/>
      <c r="B336" s="409"/>
      <c r="C336" s="410"/>
      <c r="D336" s="410"/>
      <c r="E336" s="410"/>
      <c r="F336" s="410"/>
      <c r="G336" s="410"/>
      <c r="H336" s="410"/>
      <c r="I336" s="410"/>
      <c r="J336" s="410"/>
      <c r="K336" s="410"/>
      <c r="L336" s="410"/>
      <c r="M336" s="410"/>
      <c r="N336" s="410"/>
      <c r="O336" s="410"/>
      <c r="P336" s="410"/>
      <c r="Q336" s="410"/>
      <c r="R336" s="410"/>
      <c r="S336" s="410"/>
      <c r="T336" s="410"/>
      <c r="U336" s="410"/>
      <c r="V336" s="410"/>
      <c r="W336" s="353"/>
    </row>
    <row r="337" spans="1:23" s="354" customFormat="1" ht="23.1" customHeight="1">
      <c r="A337" s="409"/>
      <c r="B337" s="409"/>
      <c r="C337" s="410"/>
      <c r="D337" s="410"/>
      <c r="E337" s="410"/>
      <c r="F337" s="410"/>
      <c r="G337" s="410"/>
      <c r="H337" s="410"/>
      <c r="I337" s="410"/>
      <c r="J337" s="410"/>
      <c r="K337" s="410"/>
      <c r="L337" s="410"/>
      <c r="M337" s="410"/>
      <c r="N337" s="410"/>
      <c r="O337" s="410"/>
      <c r="P337" s="410"/>
      <c r="Q337" s="410"/>
      <c r="R337" s="410"/>
      <c r="S337" s="410"/>
      <c r="T337" s="410"/>
      <c r="U337" s="410"/>
      <c r="V337" s="410"/>
      <c r="W337" s="353"/>
    </row>
    <row r="338" spans="1:23" s="354" customFormat="1" ht="23.1" customHeight="1">
      <c r="A338" s="409"/>
      <c r="B338" s="409"/>
      <c r="C338" s="410"/>
      <c r="D338" s="410"/>
      <c r="E338" s="410"/>
      <c r="F338" s="410"/>
      <c r="G338" s="410"/>
      <c r="H338" s="410"/>
      <c r="I338" s="410"/>
      <c r="J338" s="410"/>
      <c r="K338" s="410"/>
      <c r="L338" s="410"/>
      <c r="M338" s="410"/>
      <c r="N338" s="410"/>
      <c r="O338" s="410"/>
      <c r="P338" s="410"/>
      <c r="Q338" s="410"/>
      <c r="R338" s="410"/>
      <c r="S338" s="410"/>
      <c r="T338" s="410"/>
      <c r="U338" s="410"/>
      <c r="V338" s="410"/>
      <c r="W338" s="353"/>
    </row>
    <row r="339" spans="1:23" s="354" customFormat="1" ht="23.1" customHeight="1">
      <c r="A339" s="409"/>
      <c r="B339" s="409"/>
      <c r="C339" s="410"/>
      <c r="D339" s="410"/>
      <c r="E339" s="410"/>
      <c r="F339" s="410"/>
      <c r="G339" s="410"/>
      <c r="H339" s="410"/>
      <c r="I339" s="410"/>
      <c r="J339" s="410"/>
      <c r="K339" s="410"/>
      <c r="L339" s="410"/>
      <c r="M339" s="410"/>
      <c r="N339" s="410"/>
      <c r="O339" s="410"/>
      <c r="P339" s="410"/>
      <c r="Q339" s="410"/>
      <c r="R339" s="410"/>
      <c r="S339" s="410"/>
      <c r="T339" s="410"/>
      <c r="U339" s="410"/>
      <c r="V339" s="410"/>
      <c r="W339" s="353"/>
    </row>
    <row r="340" spans="1:23" s="354" customFormat="1" ht="23.1" customHeight="1">
      <c r="A340" s="409"/>
      <c r="B340" s="409"/>
      <c r="C340" s="410"/>
      <c r="D340" s="410"/>
      <c r="E340" s="410"/>
      <c r="F340" s="410"/>
      <c r="G340" s="410"/>
      <c r="H340" s="410"/>
      <c r="I340" s="410"/>
      <c r="J340" s="410"/>
      <c r="K340" s="410"/>
      <c r="L340" s="410"/>
      <c r="M340" s="410"/>
      <c r="N340" s="410"/>
      <c r="O340" s="410"/>
      <c r="P340" s="410"/>
      <c r="Q340" s="410"/>
      <c r="R340" s="410"/>
      <c r="S340" s="410"/>
      <c r="T340" s="410"/>
      <c r="U340" s="410"/>
      <c r="V340" s="410"/>
      <c r="W340" s="353"/>
    </row>
    <row r="341" spans="1:23" s="354" customFormat="1" ht="23.1" customHeight="1">
      <c r="A341" s="409"/>
      <c r="B341" s="409"/>
      <c r="C341" s="410"/>
      <c r="D341" s="410"/>
      <c r="E341" s="410"/>
      <c r="F341" s="410"/>
      <c r="G341" s="410"/>
      <c r="H341" s="410"/>
      <c r="I341" s="410"/>
      <c r="J341" s="410"/>
      <c r="K341" s="410"/>
      <c r="L341" s="410"/>
      <c r="M341" s="410"/>
      <c r="N341" s="410"/>
      <c r="O341" s="410"/>
      <c r="P341" s="410"/>
      <c r="Q341" s="410"/>
      <c r="R341" s="410"/>
      <c r="S341" s="410"/>
      <c r="T341" s="410"/>
      <c r="U341" s="410"/>
      <c r="V341" s="410"/>
      <c r="W341" s="353"/>
    </row>
    <row r="342" spans="1:23" s="354" customFormat="1" ht="23.1" customHeight="1">
      <c r="A342" s="409"/>
      <c r="B342" s="409"/>
      <c r="C342" s="410"/>
      <c r="D342" s="410"/>
      <c r="E342" s="410"/>
      <c r="F342" s="410"/>
      <c r="G342" s="410"/>
      <c r="H342" s="410"/>
      <c r="I342" s="410"/>
      <c r="J342" s="410"/>
      <c r="K342" s="410"/>
      <c r="L342" s="410"/>
      <c r="M342" s="410"/>
      <c r="N342" s="410"/>
      <c r="O342" s="410"/>
      <c r="P342" s="410"/>
      <c r="Q342" s="410"/>
      <c r="R342" s="410"/>
      <c r="S342" s="410"/>
      <c r="T342" s="410"/>
      <c r="U342" s="410"/>
      <c r="V342" s="410"/>
      <c r="W342" s="353"/>
    </row>
    <row r="343" spans="1:23" s="354" customFormat="1" ht="23.1" customHeight="1">
      <c r="A343" s="409"/>
      <c r="B343" s="409"/>
      <c r="C343" s="410"/>
      <c r="D343" s="410"/>
      <c r="E343" s="410"/>
      <c r="F343" s="410"/>
      <c r="G343" s="410"/>
      <c r="H343" s="410"/>
      <c r="I343" s="410"/>
      <c r="J343" s="410"/>
      <c r="K343" s="410"/>
      <c r="L343" s="410"/>
      <c r="M343" s="410"/>
      <c r="N343" s="410"/>
      <c r="O343" s="410"/>
      <c r="P343" s="410"/>
      <c r="Q343" s="410"/>
      <c r="R343" s="410"/>
      <c r="S343" s="410"/>
      <c r="T343" s="410"/>
      <c r="U343" s="410"/>
      <c r="V343" s="410"/>
      <c r="W343" s="353"/>
    </row>
    <row r="344" spans="1:23" s="354" customFormat="1" ht="23.1" customHeight="1">
      <c r="A344" s="409"/>
      <c r="B344" s="409"/>
      <c r="C344" s="410"/>
      <c r="D344" s="410"/>
      <c r="E344" s="410"/>
      <c r="F344" s="410"/>
      <c r="G344" s="410"/>
      <c r="H344" s="410"/>
      <c r="I344" s="410"/>
      <c r="J344" s="410"/>
      <c r="K344" s="410"/>
      <c r="L344" s="410"/>
      <c r="M344" s="410"/>
      <c r="N344" s="410"/>
      <c r="O344" s="410"/>
      <c r="P344" s="410"/>
      <c r="Q344" s="410"/>
      <c r="R344" s="410"/>
      <c r="S344" s="410"/>
      <c r="T344" s="410"/>
      <c r="U344" s="410"/>
      <c r="V344" s="410"/>
      <c r="W344" s="353"/>
    </row>
    <row r="345" spans="1:23" s="354" customFormat="1" ht="23.1" customHeight="1">
      <c r="A345" s="409"/>
      <c r="B345" s="409"/>
      <c r="C345" s="410"/>
      <c r="D345" s="410"/>
      <c r="E345" s="410"/>
      <c r="F345" s="410"/>
      <c r="G345" s="410"/>
      <c r="H345" s="410"/>
      <c r="I345" s="410"/>
      <c r="J345" s="410"/>
      <c r="K345" s="410"/>
      <c r="L345" s="410"/>
      <c r="M345" s="410"/>
      <c r="N345" s="410"/>
      <c r="O345" s="410"/>
      <c r="P345" s="410"/>
      <c r="Q345" s="410"/>
      <c r="R345" s="410"/>
      <c r="S345" s="410"/>
      <c r="T345" s="410"/>
      <c r="U345" s="410"/>
      <c r="V345" s="410"/>
      <c r="W345" s="353"/>
    </row>
    <row r="346" spans="1:23" s="354" customFormat="1" ht="23.1" customHeight="1">
      <c r="A346" s="409"/>
      <c r="B346" s="409"/>
      <c r="C346" s="410"/>
      <c r="D346" s="410"/>
      <c r="E346" s="410"/>
      <c r="F346" s="410"/>
      <c r="G346" s="410"/>
      <c r="H346" s="410"/>
      <c r="I346" s="410"/>
      <c r="J346" s="410"/>
      <c r="K346" s="410"/>
      <c r="L346" s="410"/>
      <c r="M346" s="410"/>
      <c r="N346" s="410"/>
      <c r="O346" s="410"/>
      <c r="P346" s="410"/>
      <c r="Q346" s="410"/>
      <c r="R346" s="410"/>
      <c r="S346" s="410"/>
      <c r="T346" s="410"/>
      <c r="U346" s="410"/>
      <c r="V346" s="410"/>
      <c r="W346" s="353"/>
    </row>
    <row r="347" spans="1:23" s="354" customFormat="1" ht="23.1" customHeight="1">
      <c r="A347" s="409"/>
      <c r="B347" s="409"/>
      <c r="C347" s="410"/>
      <c r="D347" s="410"/>
      <c r="E347" s="410"/>
      <c r="F347" s="410"/>
      <c r="G347" s="410"/>
      <c r="H347" s="410"/>
      <c r="I347" s="410"/>
      <c r="J347" s="410"/>
      <c r="K347" s="410"/>
      <c r="L347" s="410"/>
      <c r="M347" s="410"/>
      <c r="N347" s="410"/>
      <c r="O347" s="410"/>
      <c r="P347" s="410"/>
      <c r="Q347" s="410"/>
      <c r="R347" s="410"/>
      <c r="S347" s="410"/>
      <c r="T347" s="410"/>
      <c r="U347" s="410"/>
      <c r="V347" s="410"/>
      <c r="W347" s="353"/>
    </row>
    <row r="348" spans="1:23" s="354" customFormat="1" ht="23.1" customHeight="1">
      <c r="A348" s="409"/>
      <c r="B348" s="409"/>
      <c r="C348" s="410"/>
      <c r="D348" s="410"/>
      <c r="E348" s="410"/>
      <c r="F348" s="410"/>
      <c r="G348" s="410"/>
      <c r="H348" s="410"/>
      <c r="I348" s="410"/>
      <c r="J348" s="410"/>
      <c r="K348" s="410"/>
      <c r="L348" s="410"/>
      <c r="M348" s="410"/>
      <c r="N348" s="410"/>
      <c r="O348" s="410"/>
      <c r="P348" s="410"/>
      <c r="Q348" s="410"/>
      <c r="R348" s="410"/>
      <c r="S348" s="410"/>
      <c r="T348" s="410"/>
      <c r="U348" s="410"/>
      <c r="V348" s="410"/>
      <c r="W348" s="353"/>
    </row>
    <row r="349" spans="1:23" s="354" customFormat="1" ht="23.1" customHeight="1">
      <c r="A349" s="409"/>
      <c r="B349" s="409"/>
      <c r="C349" s="410"/>
      <c r="D349" s="410"/>
      <c r="E349" s="410"/>
      <c r="F349" s="410"/>
      <c r="G349" s="410"/>
      <c r="H349" s="410"/>
      <c r="I349" s="410"/>
      <c r="J349" s="410"/>
      <c r="K349" s="410"/>
      <c r="L349" s="410"/>
      <c r="M349" s="410"/>
      <c r="N349" s="410"/>
      <c r="O349" s="410"/>
      <c r="P349" s="410"/>
      <c r="Q349" s="410"/>
      <c r="R349" s="410"/>
      <c r="S349" s="410"/>
      <c r="T349" s="410"/>
      <c r="U349" s="410"/>
      <c r="V349" s="410"/>
      <c r="W349" s="353"/>
    </row>
    <row r="350" spans="1:23" s="354" customFormat="1" ht="23.1" customHeight="1">
      <c r="A350" s="409"/>
      <c r="B350" s="409"/>
      <c r="C350" s="410"/>
      <c r="D350" s="410"/>
      <c r="E350" s="410"/>
      <c r="F350" s="410"/>
      <c r="G350" s="410"/>
      <c r="H350" s="410"/>
      <c r="I350" s="410"/>
      <c r="J350" s="410"/>
      <c r="K350" s="410"/>
      <c r="L350" s="410"/>
      <c r="M350" s="410"/>
      <c r="N350" s="410"/>
      <c r="O350" s="410"/>
      <c r="P350" s="410"/>
      <c r="Q350" s="410"/>
      <c r="R350" s="410"/>
      <c r="S350" s="410"/>
      <c r="T350" s="410"/>
      <c r="U350" s="410"/>
      <c r="V350" s="410"/>
      <c r="W350" s="353"/>
    </row>
    <row r="351" spans="1:23" s="354" customFormat="1" ht="23.1" customHeight="1">
      <c r="A351" s="409"/>
      <c r="B351" s="409"/>
      <c r="C351" s="410"/>
      <c r="D351" s="410"/>
      <c r="E351" s="410"/>
      <c r="F351" s="410"/>
      <c r="G351" s="410"/>
      <c r="H351" s="410"/>
      <c r="I351" s="410"/>
      <c r="J351" s="410"/>
      <c r="K351" s="410"/>
      <c r="L351" s="410"/>
      <c r="M351" s="410"/>
      <c r="N351" s="410"/>
      <c r="O351" s="410"/>
      <c r="P351" s="410"/>
      <c r="Q351" s="410"/>
      <c r="R351" s="410"/>
      <c r="S351" s="410"/>
      <c r="T351" s="410"/>
      <c r="U351" s="410"/>
      <c r="V351" s="410"/>
      <c r="W351" s="353"/>
    </row>
    <row r="352" spans="1:23" s="354" customFormat="1" ht="23.1" customHeight="1">
      <c r="A352" s="409"/>
      <c r="B352" s="409"/>
      <c r="C352" s="410"/>
      <c r="D352" s="410"/>
      <c r="E352" s="410"/>
      <c r="F352" s="410"/>
      <c r="G352" s="410"/>
      <c r="H352" s="410"/>
      <c r="I352" s="410"/>
      <c r="J352" s="410"/>
      <c r="K352" s="410"/>
      <c r="L352" s="410"/>
      <c r="M352" s="410"/>
      <c r="N352" s="410"/>
      <c r="O352" s="410"/>
      <c r="P352" s="410"/>
      <c r="Q352" s="410"/>
      <c r="R352" s="410"/>
      <c r="S352" s="410"/>
      <c r="T352" s="410"/>
      <c r="U352" s="410"/>
      <c r="V352" s="410"/>
      <c r="W352" s="353"/>
    </row>
    <row r="353" spans="1:23" s="352" customFormat="1" ht="20.100000000000001" customHeight="1">
      <c r="A353" s="409"/>
      <c r="B353" s="409"/>
      <c r="C353" s="410"/>
      <c r="D353" s="410"/>
      <c r="E353" s="410"/>
      <c r="F353" s="410"/>
      <c r="G353" s="410"/>
      <c r="H353" s="410"/>
      <c r="I353" s="410"/>
      <c r="J353" s="410"/>
      <c r="K353" s="410"/>
      <c r="L353" s="410"/>
      <c r="M353" s="410"/>
      <c r="N353" s="410"/>
      <c r="O353" s="410"/>
      <c r="P353" s="410"/>
      <c r="Q353" s="410"/>
      <c r="R353" s="410"/>
      <c r="S353" s="410"/>
      <c r="T353" s="410"/>
      <c r="U353" s="410"/>
      <c r="V353" s="410"/>
    </row>
    <row r="354" spans="1:23" s="352" customFormat="1" ht="9.9499999999999993" customHeight="1">
      <c r="A354" s="409"/>
      <c r="B354" s="409"/>
      <c r="C354" s="410"/>
      <c r="D354" s="410"/>
      <c r="E354" s="410"/>
      <c r="F354" s="410"/>
      <c r="G354" s="410"/>
      <c r="H354" s="410"/>
      <c r="I354" s="410"/>
      <c r="J354" s="410"/>
      <c r="K354" s="410"/>
      <c r="L354" s="410"/>
      <c r="M354" s="410"/>
      <c r="N354" s="410"/>
      <c r="O354" s="410"/>
      <c r="P354" s="410"/>
      <c r="Q354" s="410"/>
      <c r="R354" s="410"/>
      <c r="S354" s="410"/>
      <c r="T354" s="410"/>
      <c r="U354" s="410"/>
      <c r="V354" s="410"/>
    </row>
    <row r="355" spans="1:23" s="354" customFormat="1" ht="27.95" customHeight="1">
      <c r="A355" s="409"/>
      <c r="B355" s="409"/>
      <c r="C355" s="410"/>
      <c r="D355" s="410"/>
      <c r="E355" s="410"/>
      <c r="F355" s="410"/>
      <c r="G355" s="410"/>
      <c r="H355" s="410"/>
      <c r="I355" s="410"/>
      <c r="J355" s="410"/>
      <c r="K355" s="410"/>
      <c r="L355" s="410"/>
      <c r="M355" s="410"/>
      <c r="N355" s="410"/>
      <c r="O355" s="410"/>
      <c r="P355" s="410"/>
      <c r="Q355" s="410"/>
      <c r="R355" s="410"/>
      <c r="S355" s="410"/>
      <c r="T355" s="410"/>
      <c r="U355" s="410"/>
      <c r="V355" s="410"/>
      <c r="W355" s="353"/>
    </row>
    <row r="356" spans="1:23" s="354" customFormat="1" ht="27.95" customHeight="1">
      <c r="A356" s="409"/>
      <c r="B356" s="409"/>
      <c r="C356" s="410"/>
      <c r="D356" s="410"/>
      <c r="E356" s="410"/>
      <c r="F356" s="410"/>
      <c r="G356" s="410"/>
      <c r="H356" s="410"/>
      <c r="I356" s="410"/>
      <c r="J356" s="410"/>
      <c r="K356" s="410"/>
      <c r="L356" s="410"/>
      <c r="M356" s="410"/>
      <c r="N356" s="410"/>
      <c r="O356" s="410"/>
      <c r="P356" s="410"/>
      <c r="Q356" s="410"/>
      <c r="R356" s="410"/>
      <c r="S356" s="410"/>
      <c r="T356" s="410"/>
      <c r="U356" s="410"/>
      <c r="V356" s="410"/>
      <c r="W356" s="353"/>
    </row>
    <row r="357" spans="1:23" s="354" customFormat="1" ht="23.1" customHeight="1">
      <c r="A357" s="409"/>
      <c r="B357" s="409"/>
      <c r="C357" s="410"/>
      <c r="D357" s="410"/>
      <c r="E357" s="410"/>
      <c r="F357" s="410"/>
      <c r="G357" s="410"/>
      <c r="H357" s="410"/>
      <c r="I357" s="410"/>
      <c r="J357" s="410"/>
      <c r="K357" s="410"/>
      <c r="L357" s="410"/>
      <c r="M357" s="410"/>
      <c r="N357" s="410"/>
      <c r="O357" s="410"/>
      <c r="P357" s="410"/>
      <c r="Q357" s="410"/>
      <c r="R357" s="410"/>
      <c r="S357" s="410"/>
      <c r="T357" s="410"/>
      <c r="U357" s="410"/>
      <c r="V357" s="410"/>
      <c r="W357" s="353"/>
    </row>
    <row r="358" spans="1:23" s="354" customFormat="1" ht="23.1" customHeight="1">
      <c r="A358" s="409"/>
      <c r="B358" s="409"/>
      <c r="C358" s="410"/>
      <c r="D358" s="410"/>
      <c r="E358" s="410"/>
      <c r="F358" s="410"/>
      <c r="G358" s="410"/>
      <c r="H358" s="410"/>
      <c r="I358" s="410"/>
      <c r="J358" s="410"/>
      <c r="K358" s="410"/>
      <c r="L358" s="410"/>
      <c r="M358" s="410"/>
      <c r="N358" s="410"/>
      <c r="O358" s="410"/>
      <c r="P358" s="410"/>
      <c r="Q358" s="410"/>
      <c r="R358" s="410"/>
      <c r="S358" s="410"/>
      <c r="T358" s="410"/>
      <c r="U358" s="410"/>
      <c r="V358" s="410"/>
      <c r="W358" s="353"/>
    </row>
    <row r="359" spans="1:23" s="354" customFormat="1" ht="23.1" customHeight="1">
      <c r="A359" s="409"/>
      <c r="B359" s="409"/>
      <c r="C359" s="410"/>
      <c r="D359" s="410"/>
      <c r="E359" s="410"/>
      <c r="F359" s="410"/>
      <c r="G359" s="410"/>
      <c r="H359" s="410"/>
      <c r="I359" s="410"/>
      <c r="J359" s="410"/>
      <c r="K359" s="410"/>
      <c r="L359" s="410"/>
      <c r="M359" s="410"/>
      <c r="N359" s="410"/>
      <c r="O359" s="410"/>
      <c r="P359" s="410"/>
      <c r="Q359" s="410"/>
      <c r="R359" s="410"/>
      <c r="S359" s="410"/>
      <c r="T359" s="410"/>
      <c r="U359" s="410"/>
      <c r="V359" s="410"/>
      <c r="W359" s="353"/>
    </row>
    <row r="360" spans="1:23" s="354" customFormat="1" ht="23.1" customHeight="1">
      <c r="A360" s="409"/>
      <c r="B360" s="409"/>
      <c r="C360" s="410"/>
      <c r="D360" s="410"/>
      <c r="E360" s="410"/>
      <c r="F360" s="410"/>
      <c r="G360" s="410"/>
      <c r="H360" s="410"/>
      <c r="I360" s="410"/>
      <c r="J360" s="410"/>
      <c r="K360" s="410"/>
      <c r="L360" s="410"/>
      <c r="M360" s="410"/>
      <c r="N360" s="410"/>
      <c r="O360" s="410"/>
      <c r="P360" s="410"/>
      <c r="Q360" s="410"/>
      <c r="R360" s="410"/>
      <c r="S360" s="410"/>
      <c r="T360" s="410"/>
      <c r="U360" s="410"/>
      <c r="V360" s="410"/>
      <c r="W360" s="353"/>
    </row>
    <row r="361" spans="1:23" s="354" customFormat="1" ht="23.1" customHeight="1">
      <c r="A361" s="409"/>
      <c r="B361" s="409"/>
      <c r="C361" s="410"/>
      <c r="D361" s="410"/>
      <c r="E361" s="410"/>
      <c r="F361" s="410"/>
      <c r="G361" s="410"/>
      <c r="H361" s="410"/>
      <c r="I361" s="410"/>
      <c r="J361" s="410"/>
      <c r="K361" s="410"/>
      <c r="L361" s="410"/>
      <c r="M361" s="410"/>
      <c r="N361" s="410"/>
      <c r="O361" s="410"/>
      <c r="P361" s="410"/>
      <c r="Q361" s="410"/>
      <c r="R361" s="410"/>
      <c r="S361" s="410"/>
      <c r="T361" s="410"/>
      <c r="U361" s="410"/>
      <c r="V361" s="410"/>
      <c r="W361" s="353"/>
    </row>
    <row r="362" spans="1:23" s="354" customFormat="1" ht="23.1" customHeight="1">
      <c r="A362" s="409"/>
      <c r="B362" s="409"/>
      <c r="C362" s="410"/>
      <c r="D362" s="410"/>
      <c r="E362" s="410"/>
      <c r="F362" s="410"/>
      <c r="G362" s="410"/>
      <c r="H362" s="410"/>
      <c r="I362" s="410"/>
      <c r="J362" s="410"/>
      <c r="K362" s="410"/>
      <c r="L362" s="410"/>
      <c r="M362" s="410"/>
      <c r="N362" s="410"/>
      <c r="O362" s="410"/>
      <c r="P362" s="410"/>
      <c r="Q362" s="410"/>
      <c r="R362" s="410"/>
      <c r="S362" s="410"/>
      <c r="T362" s="410"/>
      <c r="U362" s="410"/>
      <c r="V362" s="410"/>
      <c r="W362" s="353"/>
    </row>
    <row r="363" spans="1:23" s="354" customFormat="1" ht="23.1" customHeight="1">
      <c r="A363" s="409"/>
      <c r="B363" s="409"/>
      <c r="C363" s="410"/>
      <c r="D363" s="410"/>
      <c r="E363" s="410"/>
      <c r="F363" s="410"/>
      <c r="G363" s="410"/>
      <c r="H363" s="410"/>
      <c r="I363" s="410"/>
      <c r="J363" s="410"/>
      <c r="K363" s="410"/>
      <c r="L363" s="410"/>
      <c r="M363" s="410"/>
      <c r="N363" s="410"/>
      <c r="O363" s="410"/>
      <c r="P363" s="410"/>
      <c r="Q363" s="410"/>
      <c r="R363" s="410"/>
      <c r="S363" s="410"/>
      <c r="T363" s="410"/>
      <c r="U363" s="410"/>
      <c r="V363" s="410"/>
      <c r="W363" s="353"/>
    </row>
    <row r="364" spans="1:23" s="354" customFormat="1" ht="23.1" customHeight="1">
      <c r="A364" s="409"/>
      <c r="B364" s="409"/>
      <c r="C364" s="410"/>
      <c r="D364" s="410"/>
      <c r="E364" s="410"/>
      <c r="F364" s="410"/>
      <c r="G364" s="410"/>
      <c r="H364" s="410"/>
      <c r="I364" s="410"/>
      <c r="J364" s="410"/>
      <c r="K364" s="410"/>
      <c r="L364" s="410"/>
      <c r="M364" s="410"/>
      <c r="N364" s="410"/>
      <c r="O364" s="410"/>
      <c r="P364" s="410"/>
      <c r="Q364" s="410"/>
      <c r="R364" s="410"/>
      <c r="S364" s="410"/>
      <c r="T364" s="410"/>
      <c r="U364" s="410"/>
      <c r="V364" s="410"/>
      <c r="W364" s="353"/>
    </row>
    <row r="365" spans="1:23" s="354" customFormat="1" ht="23.1" customHeight="1">
      <c r="A365" s="409"/>
      <c r="B365" s="409"/>
      <c r="C365" s="410"/>
      <c r="D365" s="410"/>
      <c r="E365" s="410"/>
      <c r="F365" s="410"/>
      <c r="G365" s="410"/>
      <c r="H365" s="410"/>
      <c r="I365" s="410"/>
      <c r="J365" s="410"/>
      <c r="K365" s="410"/>
      <c r="L365" s="410"/>
      <c r="M365" s="410"/>
      <c r="N365" s="410"/>
      <c r="O365" s="410"/>
      <c r="P365" s="410"/>
      <c r="Q365" s="410"/>
      <c r="R365" s="410"/>
      <c r="S365" s="410"/>
      <c r="T365" s="410"/>
      <c r="U365" s="410"/>
      <c r="V365" s="410"/>
      <c r="W365" s="353"/>
    </row>
    <row r="366" spans="1:23" s="354" customFormat="1" ht="23.1" customHeight="1">
      <c r="A366" s="409"/>
      <c r="B366" s="409"/>
      <c r="C366" s="410"/>
      <c r="D366" s="410"/>
      <c r="E366" s="410"/>
      <c r="F366" s="410"/>
      <c r="G366" s="410"/>
      <c r="H366" s="410"/>
      <c r="I366" s="410"/>
      <c r="J366" s="410"/>
      <c r="K366" s="410"/>
      <c r="L366" s="410"/>
      <c r="M366" s="410"/>
      <c r="N366" s="410"/>
      <c r="O366" s="410"/>
      <c r="P366" s="410"/>
      <c r="Q366" s="410"/>
      <c r="R366" s="410"/>
      <c r="S366" s="410"/>
      <c r="T366" s="410"/>
      <c r="U366" s="410"/>
      <c r="V366" s="410"/>
      <c r="W366" s="353"/>
    </row>
    <row r="367" spans="1:23" s="354" customFormat="1" ht="23.1" customHeight="1">
      <c r="A367" s="409"/>
      <c r="B367" s="409"/>
      <c r="C367" s="410"/>
      <c r="D367" s="410"/>
      <c r="E367" s="410"/>
      <c r="F367" s="410"/>
      <c r="G367" s="410"/>
      <c r="H367" s="410"/>
      <c r="I367" s="410"/>
      <c r="J367" s="410"/>
      <c r="K367" s="410"/>
      <c r="L367" s="410"/>
      <c r="M367" s="410"/>
      <c r="N367" s="410"/>
      <c r="O367" s="410"/>
      <c r="P367" s="410"/>
      <c r="Q367" s="410"/>
      <c r="R367" s="410"/>
      <c r="S367" s="410"/>
      <c r="T367" s="410"/>
      <c r="U367" s="410"/>
      <c r="V367" s="410"/>
      <c r="W367" s="353"/>
    </row>
    <row r="368" spans="1:23" s="354" customFormat="1" ht="23.1" customHeight="1">
      <c r="A368" s="409"/>
      <c r="B368" s="409"/>
      <c r="C368" s="410"/>
      <c r="D368" s="410"/>
      <c r="E368" s="410"/>
      <c r="F368" s="410"/>
      <c r="G368" s="410"/>
      <c r="H368" s="410"/>
      <c r="I368" s="410"/>
      <c r="J368" s="410"/>
      <c r="K368" s="410"/>
      <c r="L368" s="410"/>
      <c r="M368" s="410"/>
      <c r="N368" s="410"/>
      <c r="O368" s="410"/>
      <c r="P368" s="410"/>
      <c r="Q368" s="410"/>
      <c r="R368" s="410"/>
      <c r="S368" s="410"/>
      <c r="T368" s="410"/>
      <c r="U368" s="410"/>
      <c r="V368" s="410"/>
      <c r="W368" s="353"/>
    </row>
    <row r="369" spans="1:23" s="354" customFormat="1" ht="23.1" customHeight="1">
      <c r="A369" s="409"/>
      <c r="B369" s="409"/>
      <c r="C369" s="410"/>
      <c r="D369" s="410"/>
      <c r="E369" s="410"/>
      <c r="F369" s="410"/>
      <c r="G369" s="410"/>
      <c r="H369" s="410"/>
      <c r="I369" s="410"/>
      <c r="J369" s="410"/>
      <c r="K369" s="410"/>
      <c r="L369" s="410"/>
      <c r="M369" s="410"/>
      <c r="N369" s="410"/>
      <c r="O369" s="410"/>
      <c r="P369" s="410"/>
      <c r="Q369" s="410"/>
      <c r="R369" s="410"/>
      <c r="S369" s="410"/>
      <c r="T369" s="410"/>
      <c r="U369" s="410"/>
      <c r="V369" s="410"/>
      <c r="W369" s="353"/>
    </row>
    <row r="370" spans="1:23" s="354" customFormat="1" ht="23.1" customHeight="1">
      <c r="A370" s="409"/>
      <c r="B370" s="409"/>
      <c r="C370" s="410"/>
      <c r="D370" s="410"/>
      <c r="E370" s="410"/>
      <c r="F370" s="410"/>
      <c r="G370" s="410"/>
      <c r="H370" s="410"/>
      <c r="I370" s="410"/>
      <c r="J370" s="410"/>
      <c r="K370" s="410"/>
      <c r="L370" s="410"/>
      <c r="M370" s="410"/>
      <c r="N370" s="410"/>
      <c r="O370" s="410"/>
      <c r="P370" s="410"/>
      <c r="Q370" s="410"/>
      <c r="R370" s="410"/>
      <c r="S370" s="410"/>
      <c r="T370" s="410"/>
      <c r="U370" s="410"/>
      <c r="V370" s="410"/>
      <c r="W370" s="353"/>
    </row>
    <row r="371" spans="1:23" s="354" customFormat="1" ht="23.1" customHeight="1">
      <c r="A371" s="409"/>
      <c r="B371" s="409"/>
      <c r="C371" s="410"/>
      <c r="D371" s="410"/>
      <c r="E371" s="410"/>
      <c r="F371" s="410"/>
      <c r="G371" s="410"/>
      <c r="H371" s="410"/>
      <c r="I371" s="410"/>
      <c r="J371" s="410"/>
      <c r="K371" s="410"/>
      <c r="L371" s="410"/>
      <c r="M371" s="410"/>
      <c r="N371" s="410"/>
      <c r="O371" s="410"/>
      <c r="P371" s="410"/>
      <c r="Q371" s="410"/>
      <c r="R371" s="410"/>
      <c r="S371" s="410"/>
      <c r="T371" s="410"/>
      <c r="U371" s="410"/>
      <c r="V371" s="410"/>
      <c r="W371" s="353"/>
    </row>
    <row r="372" spans="1:23" s="354" customFormat="1" ht="23.1" customHeight="1">
      <c r="A372" s="409"/>
      <c r="B372" s="409"/>
      <c r="C372" s="410"/>
      <c r="D372" s="410"/>
      <c r="E372" s="410"/>
      <c r="F372" s="410"/>
      <c r="G372" s="410"/>
      <c r="H372" s="410"/>
      <c r="I372" s="410"/>
      <c r="J372" s="410"/>
      <c r="K372" s="410"/>
      <c r="L372" s="410"/>
      <c r="M372" s="410"/>
      <c r="N372" s="410"/>
      <c r="O372" s="410"/>
      <c r="P372" s="410"/>
      <c r="Q372" s="410"/>
      <c r="R372" s="410"/>
      <c r="S372" s="410"/>
      <c r="T372" s="410"/>
      <c r="U372" s="410"/>
      <c r="V372" s="410"/>
      <c r="W372" s="353"/>
    </row>
    <row r="373" spans="1:23" s="354" customFormat="1" ht="23.1" customHeight="1">
      <c r="A373" s="409"/>
      <c r="B373" s="409"/>
      <c r="C373" s="410"/>
      <c r="D373" s="410"/>
      <c r="E373" s="410"/>
      <c r="F373" s="410"/>
      <c r="G373" s="410"/>
      <c r="H373" s="410"/>
      <c r="I373" s="410"/>
      <c r="J373" s="410"/>
      <c r="K373" s="410"/>
      <c r="L373" s="410"/>
      <c r="M373" s="410"/>
      <c r="N373" s="410"/>
      <c r="O373" s="410"/>
      <c r="P373" s="410"/>
      <c r="Q373" s="410"/>
      <c r="R373" s="410"/>
      <c r="S373" s="410"/>
      <c r="T373" s="410"/>
      <c r="U373" s="410"/>
      <c r="V373" s="410"/>
      <c r="W373" s="353"/>
    </row>
    <row r="374" spans="1:23" s="354" customFormat="1" ht="23.1" customHeight="1">
      <c r="A374" s="409"/>
      <c r="B374" s="409"/>
      <c r="C374" s="410"/>
      <c r="D374" s="410"/>
      <c r="E374" s="410"/>
      <c r="F374" s="410"/>
      <c r="G374" s="410"/>
      <c r="H374" s="410"/>
      <c r="I374" s="410"/>
      <c r="J374" s="410"/>
      <c r="K374" s="410"/>
      <c r="L374" s="410"/>
      <c r="M374" s="410"/>
      <c r="N374" s="410"/>
      <c r="O374" s="410"/>
      <c r="P374" s="410"/>
      <c r="Q374" s="410"/>
      <c r="R374" s="410"/>
      <c r="S374" s="410"/>
      <c r="T374" s="410"/>
      <c r="U374" s="410"/>
      <c r="V374" s="410"/>
      <c r="W374" s="353"/>
    </row>
    <row r="375" spans="1:23" s="354" customFormat="1" ht="23.1" customHeight="1">
      <c r="A375" s="409"/>
      <c r="B375" s="409"/>
      <c r="C375" s="410"/>
      <c r="D375" s="410"/>
      <c r="E375" s="410"/>
      <c r="F375" s="410"/>
      <c r="G375" s="410"/>
      <c r="H375" s="410"/>
      <c r="I375" s="410"/>
      <c r="J375" s="410"/>
      <c r="K375" s="410"/>
      <c r="L375" s="410"/>
      <c r="M375" s="410"/>
      <c r="N375" s="410"/>
      <c r="O375" s="410"/>
      <c r="P375" s="410"/>
      <c r="Q375" s="410"/>
      <c r="R375" s="410"/>
      <c r="S375" s="410"/>
      <c r="T375" s="410"/>
      <c r="U375" s="410"/>
      <c r="V375" s="410"/>
      <c r="W375" s="353"/>
    </row>
    <row r="376" spans="1:23" s="354" customFormat="1" ht="23.1" customHeight="1">
      <c r="A376" s="409"/>
      <c r="B376" s="409"/>
      <c r="C376" s="410"/>
      <c r="D376" s="410"/>
      <c r="E376" s="410"/>
      <c r="F376" s="410"/>
      <c r="G376" s="410"/>
      <c r="H376" s="410"/>
      <c r="I376" s="410"/>
      <c r="J376" s="410"/>
      <c r="K376" s="410"/>
      <c r="L376" s="410"/>
      <c r="M376" s="410"/>
      <c r="N376" s="410"/>
      <c r="O376" s="410"/>
      <c r="P376" s="410"/>
      <c r="Q376" s="410"/>
      <c r="R376" s="410"/>
      <c r="S376" s="410"/>
      <c r="T376" s="410"/>
      <c r="U376" s="410"/>
      <c r="V376" s="410"/>
      <c r="W376" s="353"/>
    </row>
    <row r="377" spans="1:23" s="354" customFormat="1" ht="23.1" customHeight="1">
      <c r="A377" s="409"/>
      <c r="B377" s="409"/>
      <c r="C377" s="410"/>
      <c r="D377" s="410"/>
      <c r="E377" s="410"/>
      <c r="F377" s="410"/>
      <c r="G377" s="410"/>
      <c r="H377" s="410"/>
      <c r="I377" s="410"/>
      <c r="J377" s="410"/>
      <c r="K377" s="410"/>
      <c r="L377" s="410"/>
      <c r="M377" s="410"/>
      <c r="N377" s="410"/>
      <c r="O377" s="410"/>
      <c r="P377" s="410"/>
      <c r="Q377" s="410"/>
      <c r="R377" s="410"/>
      <c r="S377" s="410"/>
      <c r="T377" s="410"/>
      <c r="U377" s="410"/>
      <c r="V377" s="410"/>
      <c r="W377" s="353"/>
    </row>
    <row r="378" spans="1:23" s="354" customFormat="1" ht="23.1" customHeight="1">
      <c r="A378" s="409"/>
      <c r="B378" s="409"/>
      <c r="C378" s="410"/>
      <c r="D378" s="410"/>
      <c r="E378" s="410"/>
      <c r="F378" s="410"/>
      <c r="G378" s="410"/>
      <c r="H378" s="410"/>
      <c r="I378" s="410"/>
      <c r="J378" s="410"/>
      <c r="K378" s="410"/>
      <c r="L378" s="410"/>
      <c r="M378" s="410"/>
      <c r="N378" s="410"/>
      <c r="O378" s="410"/>
      <c r="P378" s="410"/>
      <c r="Q378" s="410"/>
      <c r="R378" s="410"/>
      <c r="S378" s="410"/>
      <c r="T378" s="410"/>
      <c r="U378" s="410"/>
      <c r="V378" s="410"/>
      <c r="W378" s="353"/>
    </row>
    <row r="379" spans="1:23" s="354" customFormat="1" ht="23.1" customHeight="1">
      <c r="A379" s="409"/>
      <c r="B379" s="409"/>
      <c r="C379" s="410"/>
      <c r="D379" s="410"/>
      <c r="E379" s="410"/>
      <c r="F379" s="410"/>
      <c r="G379" s="410"/>
      <c r="H379" s="410"/>
      <c r="I379" s="410"/>
      <c r="J379" s="410"/>
      <c r="K379" s="410"/>
      <c r="L379" s="410"/>
      <c r="M379" s="410"/>
      <c r="N379" s="410"/>
      <c r="O379" s="410"/>
      <c r="P379" s="410"/>
      <c r="Q379" s="410"/>
      <c r="R379" s="410"/>
      <c r="S379" s="410"/>
      <c r="T379" s="410"/>
      <c r="U379" s="410"/>
      <c r="V379" s="410"/>
      <c r="W379" s="353"/>
    </row>
    <row r="380" spans="1:23" s="354" customFormat="1" ht="23.1" customHeight="1">
      <c r="A380" s="409"/>
      <c r="B380" s="409"/>
      <c r="C380" s="410"/>
      <c r="D380" s="410"/>
      <c r="E380" s="410"/>
      <c r="F380" s="410"/>
      <c r="G380" s="410"/>
      <c r="H380" s="410"/>
      <c r="I380" s="410"/>
      <c r="J380" s="410"/>
      <c r="K380" s="410"/>
      <c r="L380" s="410"/>
      <c r="M380" s="410"/>
      <c r="N380" s="410"/>
      <c r="O380" s="410"/>
      <c r="P380" s="410"/>
      <c r="Q380" s="410"/>
      <c r="R380" s="410"/>
      <c r="S380" s="410"/>
      <c r="T380" s="410"/>
      <c r="U380" s="410"/>
      <c r="V380" s="410"/>
      <c r="W380" s="353"/>
    </row>
    <row r="381" spans="1:23" s="354" customFormat="1" ht="23.1" customHeight="1">
      <c r="A381" s="409"/>
      <c r="B381" s="409"/>
      <c r="C381" s="410"/>
      <c r="D381" s="410"/>
      <c r="E381" s="410"/>
      <c r="F381" s="410"/>
      <c r="G381" s="410"/>
      <c r="H381" s="410"/>
      <c r="I381" s="410"/>
      <c r="J381" s="410"/>
      <c r="K381" s="410"/>
      <c r="L381" s="410"/>
      <c r="M381" s="410"/>
      <c r="N381" s="410"/>
      <c r="O381" s="410"/>
      <c r="P381" s="410"/>
      <c r="Q381" s="410"/>
      <c r="R381" s="410"/>
      <c r="S381" s="410"/>
      <c r="T381" s="410"/>
      <c r="U381" s="410"/>
      <c r="V381" s="410"/>
      <c r="W381" s="353"/>
    </row>
    <row r="382" spans="1:23" s="354" customFormat="1" ht="23.1" customHeight="1">
      <c r="A382" s="409"/>
      <c r="B382" s="409"/>
      <c r="C382" s="410"/>
      <c r="D382" s="410"/>
      <c r="E382" s="410"/>
      <c r="F382" s="410"/>
      <c r="G382" s="410"/>
      <c r="H382" s="410"/>
      <c r="I382" s="410"/>
      <c r="J382" s="410"/>
      <c r="K382" s="410"/>
      <c r="L382" s="410"/>
      <c r="M382" s="410"/>
      <c r="N382" s="410"/>
      <c r="O382" s="410"/>
      <c r="P382" s="410"/>
      <c r="Q382" s="410"/>
      <c r="R382" s="410"/>
      <c r="S382" s="410"/>
      <c r="T382" s="410"/>
      <c r="U382" s="410"/>
      <c r="V382" s="410"/>
      <c r="W382" s="353"/>
    </row>
    <row r="383" spans="1:23" s="352" customFormat="1" ht="20.100000000000001" customHeight="1">
      <c r="A383" s="409"/>
      <c r="B383" s="409"/>
      <c r="C383" s="410"/>
      <c r="D383" s="410"/>
      <c r="E383" s="410"/>
      <c r="F383" s="410"/>
      <c r="G383" s="410"/>
      <c r="H383" s="410"/>
      <c r="I383" s="410"/>
      <c r="J383" s="410"/>
      <c r="K383" s="410"/>
      <c r="L383" s="410"/>
      <c r="M383" s="410"/>
      <c r="N383" s="410"/>
      <c r="O383" s="410"/>
      <c r="P383" s="410"/>
      <c r="Q383" s="410"/>
      <c r="R383" s="410"/>
      <c r="S383" s="410"/>
      <c r="T383" s="410"/>
      <c r="U383" s="410"/>
      <c r="V383" s="410"/>
    </row>
    <row r="384" spans="1:23" s="352" customFormat="1" ht="9.9499999999999993" customHeight="1">
      <c r="A384" s="409"/>
      <c r="B384" s="409"/>
      <c r="C384" s="410"/>
      <c r="D384" s="410"/>
      <c r="E384" s="410"/>
      <c r="F384" s="410"/>
      <c r="G384" s="410"/>
      <c r="H384" s="410"/>
      <c r="I384" s="410"/>
      <c r="J384" s="410"/>
      <c r="K384" s="410"/>
      <c r="L384" s="410"/>
      <c r="M384" s="410"/>
      <c r="N384" s="410"/>
      <c r="O384" s="410"/>
      <c r="P384" s="410"/>
      <c r="Q384" s="410"/>
      <c r="R384" s="410"/>
      <c r="S384" s="410"/>
      <c r="T384" s="410"/>
      <c r="U384" s="410"/>
      <c r="V384" s="410"/>
    </row>
    <row r="385" spans="1:23" s="354" customFormat="1" ht="27.95" customHeight="1">
      <c r="A385" s="409"/>
      <c r="B385" s="409"/>
      <c r="C385" s="410"/>
      <c r="D385" s="410"/>
      <c r="E385" s="410"/>
      <c r="F385" s="410"/>
      <c r="G385" s="410"/>
      <c r="H385" s="410"/>
      <c r="I385" s="410"/>
      <c r="J385" s="410"/>
      <c r="K385" s="410"/>
      <c r="L385" s="410"/>
      <c r="M385" s="410"/>
      <c r="N385" s="410"/>
      <c r="O385" s="410"/>
      <c r="P385" s="410"/>
      <c r="Q385" s="410"/>
      <c r="R385" s="410"/>
      <c r="S385" s="410"/>
      <c r="T385" s="410"/>
      <c r="U385" s="410"/>
      <c r="V385" s="410"/>
      <c r="W385" s="353"/>
    </row>
    <row r="386" spans="1:23" s="354" customFormat="1" ht="27.95" customHeight="1">
      <c r="A386" s="409"/>
      <c r="B386" s="409"/>
      <c r="C386" s="410"/>
      <c r="D386" s="410"/>
      <c r="E386" s="410"/>
      <c r="F386" s="410"/>
      <c r="G386" s="410"/>
      <c r="H386" s="410"/>
      <c r="I386" s="410"/>
      <c r="J386" s="410"/>
      <c r="K386" s="410"/>
      <c r="L386" s="410"/>
      <c r="M386" s="410"/>
      <c r="N386" s="410"/>
      <c r="O386" s="410"/>
      <c r="P386" s="410"/>
      <c r="Q386" s="410"/>
      <c r="R386" s="410"/>
      <c r="S386" s="410"/>
      <c r="T386" s="410"/>
      <c r="U386" s="410"/>
      <c r="V386" s="410"/>
      <c r="W386" s="353"/>
    </row>
    <row r="387" spans="1:23" s="354" customFormat="1" ht="23.1" customHeight="1">
      <c r="A387" s="409"/>
      <c r="B387" s="409"/>
      <c r="C387" s="410"/>
      <c r="D387" s="410"/>
      <c r="E387" s="410"/>
      <c r="F387" s="410"/>
      <c r="G387" s="410"/>
      <c r="H387" s="410"/>
      <c r="I387" s="410"/>
      <c r="J387" s="410"/>
      <c r="K387" s="410"/>
      <c r="L387" s="410"/>
      <c r="M387" s="410"/>
      <c r="N387" s="410"/>
      <c r="O387" s="410"/>
      <c r="P387" s="410"/>
      <c r="Q387" s="410"/>
      <c r="R387" s="410"/>
      <c r="S387" s="410"/>
      <c r="T387" s="410"/>
      <c r="U387" s="410"/>
      <c r="V387" s="410"/>
      <c r="W387" s="353"/>
    </row>
    <row r="388" spans="1:23" s="354" customFormat="1" ht="23.1" customHeight="1">
      <c r="A388" s="409"/>
      <c r="B388" s="409"/>
      <c r="C388" s="410"/>
      <c r="D388" s="410"/>
      <c r="E388" s="410"/>
      <c r="F388" s="410"/>
      <c r="G388" s="410"/>
      <c r="H388" s="410"/>
      <c r="I388" s="410"/>
      <c r="J388" s="410"/>
      <c r="K388" s="410"/>
      <c r="L388" s="410"/>
      <c r="M388" s="410"/>
      <c r="N388" s="410"/>
      <c r="O388" s="410"/>
      <c r="P388" s="410"/>
      <c r="Q388" s="410"/>
      <c r="R388" s="410"/>
      <c r="S388" s="410"/>
      <c r="T388" s="410"/>
      <c r="U388" s="410"/>
      <c r="V388" s="410"/>
      <c r="W388" s="353"/>
    </row>
    <row r="389" spans="1:23" s="354" customFormat="1" ht="23.1" customHeight="1">
      <c r="A389" s="409"/>
      <c r="B389" s="409"/>
      <c r="C389" s="410"/>
      <c r="D389" s="410"/>
      <c r="E389" s="410"/>
      <c r="F389" s="410"/>
      <c r="G389" s="410"/>
      <c r="H389" s="410"/>
      <c r="I389" s="410"/>
      <c r="J389" s="410"/>
      <c r="K389" s="410"/>
      <c r="L389" s="410"/>
      <c r="M389" s="410"/>
      <c r="N389" s="410"/>
      <c r="O389" s="410"/>
      <c r="P389" s="410"/>
      <c r="Q389" s="410"/>
      <c r="R389" s="410"/>
      <c r="S389" s="410"/>
      <c r="T389" s="410"/>
      <c r="U389" s="410"/>
      <c r="V389" s="410"/>
      <c r="W389" s="353"/>
    </row>
    <row r="390" spans="1:23" s="354" customFormat="1" ht="23.1" customHeight="1">
      <c r="A390" s="409"/>
      <c r="B390" s="409"/>
      <c r="C390" s="410"/>
      <c r="D390" s="410"/>
      <c r="E390" s="410"/>
      <c r="F390" s="410"/>
      <c r="G390" s="410"/>
      <c r="H390" s="410"/>
      <c r="I390" s="410"/>
      <c r="J390" s="410"/>
      <c r="K390" s="410"/>
      <c r="L390" s="410"/>
      <c r="M390" s="410"/>
      <c r="N390" s="410"/>
      <c r="O390" s="410"/>
      <c r="P390" s="410"/>
      <c r="Q390" s="410"/>
      <c r="R390" s="410"/>
      <c r="S390" s="410"/>
      <c r="T390" s="410"/>
      <c r="U390" s="410"/>
      <c r="V390" s="410"/>
      <c r="W390" s="353"/>
    </row>
    <row r="391" spans="1:23" s="354" customFormat="1" ht="23.1" customHeight="1">
      <c r="A391" s="409"/>
      <c r="B391" s="409"/>
      <c r="C391" s="410"/>
      <c r="D391" s="410"/>
      <c r="E391" s="410"/>
      <c r="F391" s="410"/>
      <c r="G391" s="410"/>
      <c r="H391" s="410"/>
      <c r="I391" s="410"/>
      <c r="J391" s="410"/>
      <c r="K391" s="410"/>
      <c r="L391" s="410"/>
      <c r="M391" s="410"/>
      <c r="N391" s="410"/>
      <c r="O391" s="410"/>
      <c r="P391" s="410"/>
      <c r="Q391" s="410"/>
      <c r="R391" s="410"/>
      <c r="S391" s="410"/>
      <c r="T391" s="410"/>
      <c r="U391" s="410"/>
      <c r="V391" s="410"/>
      <c r="W391" s="353"/>
    </row>
    <row r="392" spans="1:23" s="354" customFormat="1" ht="23.1" customHeight="1">
      <c r="A392" s="409"/>
      <c r="B392" s="409"/>
      <c r="C392" s="410"/>
      <c r="D392" s="410"/>
      <c r="E392" s="410"/>
      <c r="F392" s="410"/>
      <c r="G392" s="410"/>
      <c r="H392" s="410"/>
      <c r="I392" s="410"/>
      <c r="J392" s="410"/>
      <c r="K392" s="410"/>
      <c r="L392" s="410"/>
      <c r="M392" s="410"/>
      <c r="N392" s="410"/>
      <c r="O392" s="410"/>
      <c r="P392" s="410"/>
      <c r="Q392" s="410"/>
      <c r="R392" s="410"/>
      <c r="S392" s="410"/>
      <c r="T392" s="410"/>
      <c r="U392" s="410"/>
      <c r="V392" s="410"/>
      <c r="W392" s="353"/>
    </row>
    <row r="393" spans="1:23" s="354" customFormat="1" ht="23.1" customHeight="1">
      <c r="A393" s="409"/>
      <c r="B393" s="409"/>
      <c r="C393" s="410"/>
      <c r="D393" s="410"/>
      <c r="E393" s="410"/>
      <c r="F393" s="410"/>
      <c r="G393" s="410"/>
      <c r="H393" s="410"/>
      <c r="I393" s="410"/>
      <c r="J393" s="410"/>
      <c r="K393" s="410"/>
      <c r="L393" s="410"/>
      <c r="M393" s="410"/>
      <c r="N393" s="410"/>
      <c r="O393" s="410"/>
      <c r="P393" s="410"/>
      <c r="Q393" s="410"/>
      <c r="R393" s="410"/>
      <c r="S393" s="410"/>
      <c r="T393" s="410"/>
      <c r="U393" s="410"/>
      <c r="V393" s="410"/>
      <c r="W393" s="353"/>
    </row>
    <row r="394" spans="1:23" s="354" customFormat="1" ht="23.1" customHeight="1">
      <c r="A394" s="409"/>
      <c r="B394" s="409"/>
      <c r="C394" s="410"/>
      <c r="D394" s="410"/>
      <c r="E394" s="410"/>
      <c r="F394" s="410"/>
      <c r="G394" s="410"/>
      <c r="H394" s="410"/>
      <c r="I394" s="410"/>
      <c r="J394" s="410"/>
      <c r="K394" s="410"/>
      <c r="L394" s="410"/>
      <c r="M394" s="410"/>
      <c r="N394" s="410"/>
      <c r="O394" s="410"/>
      <c r="P394" s="410"/>
      <c r="Q394" s="410"/>
      <c r="R394" s="410"/>
      <c r="S394" s="410"/>
      <c r="T394" s="410"/>
      <c r="U394" s="410"/>
      <c r="V394" s="410"/>
      <c r="W394" s="353"/>
    </row>
    <row r="395" spans="1:23" s="354" customFormat="1" ht="23.1" customHeight="1">
      <c r="A395" s="409"/>
      <c r="B395" s="409"/>
      <c r="C395" s="410"/>
      <c r="D395" s="410"/>
      <c r="E395" s="410"/>
      <c r="F395" s="410"/>
      <c r="G395" s="410"/>
      <c r="H395" s="410"/>
      <c r="I395" s="410"/>
      <c r="J395" s="410"/>
      <c r="K395" s="410"/>
      <c r="L395" s="410"/>
      <c r="M395" s="410"/>
      <c r="N395" s="410"/>
      <c r="O395" s="410"/>
      <c r="P395" s="410"/>
      <c r="Q395" s="410"/>
      <c r="R395" s="410"/>
      <c r="S395" s="410"/>
      <c r="T395" s="410"/>
      <c r="U395" s="410"/>
      <c r="V395" s="410"/>
      <c r="W395" s="353"/>
    </row>
    <row r="396" spans="1:23" s="354" customFormat="1" ht="23.1" customHeight="1">
      <c r="A396" s="409"/>
      <c r="B396" s="409"/>
      <c r="C396" s="410"/>
      <c r="D396" s="410"/>
      <c r="E396" s="410"/>
      <c r="F396" s="410"/>
      <c r="G396" s="410"/>
      <c r="H396" s="410"/>
      <c r="I396" s="410"/>
      <c r="J396" s="410"/>
      <c r="K396" s="410"/>
      <c r="L396" s="410"/>
      <c r="M396" s="410"/>
      <c r="N396" s="410"/>
      <c r="O396" s="410"/>
      <c r="P396" s="410"/>
      <c r="Q396" s="410"/>
      <c r="R396" s="410"/>
      <c r="S396" s="410"/>
      <c r="T396" s="410"/>
      <c r="U396" s="410"/>
      <c r="V396" s="410"/>
      <c r="W396" s="353"/>
    </row>
    <row r="397" spans="1:23" s="354" customFormat="1" ht="23.1" customHeight="1">
      <c r="A397" s="409"/>
      <c r="B397" s="409"/>
      <c r="C397" s="410"/>
      <c r="D397" s="410"/>
      <c r="E397" s="410"/>
      <c r="F397" s="410"/>
      <c r="G397" s="410"/>
      <c r="H397" s="410"/>
      <c r="I397" s="410"/>
      <c r="J397" s="410"/>
      <c r="K397" s="410"/>
      <c r="L397" s="410"/>
      <c r="M397" s="410"/>
      <c r="N397" s="410"/>
      <c r="O397" s="410"/>
      <c r="P397" s="410"/>
      <c r="Q397" s="410"/>
      <c r="R397" s="410"/>
      <c r="S397" s="410"/>
      <c r="T397" s="410"/>
      <c r="U397" s="410"/>
      <c r="V397" s="410"/>
      <c r="W397" s="353"/>
    </row>
    <row r="398" spans="1:23" s="354" customFormat="1" ht="23.1" customHeight="1">
      <c r="A398" s="409"/>
      <c r="B398" s="409"/>
      <c r="C398" s="410"/>
      <c r="D398" s="410"/>
      <c r="E398" s="410"/>
      <c r="F398" s="410"/>
      <c r="G398" s="410"/>
      <c r="H398" s="410"/>
      <c r="I398" s="410"/>
      <c r="J398" s="410"/>
      <c r="K398" s="410"/>
      <c r="L398" s="410"/>
      <c r="M398" s="410"/>
      <c r="N398" s="410"/>
      <c r="O398" s="410"/>
      <c r="P398" s="410"/>
      <c r="Q398" s="410"/>
      <c r="R398" s="410"/>
      <c r="S398" s="410"/>
      <c r="T398" s="410"/>
      <c r="U398" s="410"/>
      <c r="V398" s="410"/>
      <c r="W398" s="353"/>
    </row>
    <row r="399" spans="1:23" s="354" customFormat="1" ht="23.1" customHeight="1">
      <c r="A399" s="409"/>
      <c r="B399" s="409"/>
      <c r="C399" s="410"/>
      <c r="D399" s="410"/>
      <c r="E399" s="410"/>
      <c r="F399" s="410"/>
      <c r="G399" s="410"/>
      <c r="H399" s="410"/>
      <c r="I399" s="410"/>
      <c r="J399" s="410"/>
      <c r="K399" s="410"/>
      <c r="L399" s="410"/>
      <c r="M399" s="410"/>
      <c r="N399" s="410"/>
      <c r="O399" s="410"/>
      <c r="P399" s="410"/>
      <c r="Q399" s="410"/>
      <c r="R399" s="410"/>
      <c r="S399" s="410"/>
      <c r="T399" s="410"/>
      <c r="U399" s="410"/>
      <c r="V399" s="410"/>
      <c r="W399" s="353"/>
    </row>
    <row r="400" spans="1:23" s="354" customFormat="1" ht="23.1" customHeight="1">
      <c r="A400" s="409"/>
      <c r="B400" s="409"/>
      <c r="C400" s="410"/>
      <c r="D400" s="410"/>
      <c r="E400" s="410"/>
      <c r="F400" s="410"/>
      <c r="G400" s="410"/>
      <c r="H400" s="410"/>
      <c r="I400" s="410"/>
      <c r="J400" s="410"/>
      <c r="K400" s="410"/>
      <c r="L400" s="410"/>
      <c r="M400" s="410"/>
      <c r="N400" s="410"/>
      <c r="O400" s="410"/>
      <c r="P400" s="410"/>
      <c r="Q400" s="410"/>
      <c r="R400" s="410"/>
      <c r="S400" s="410"/>
      <c r="T400" s="410"/>
      <c r="U400" s="410"/>
      <c r="V400" s="410"/>
      <c r="W400" s="353"/>
    </row>
    <row r="401" spans="1:23" s="354" customFormat="1" ht="23.1" customHeight="1">
      <c r="A401" s="409"/>
      <c r="B401" s="409"/>
      <c r="C401" s="410"/>
      <c r="D401" s="410"/>
      <c r="E401" s="410"/>
      <c r="F401" s="410"/>
      <c r="G401" s="410"/>
      <c r="H401" s="410"/>
      <c r="I401" s="410"/>
      <c r="J401" s="410"/>
      <c r="K401" s="410"/>
      <c r="L401" s="410"/>
      <c r="M401" s="410"/>
      <c r="N401" s="410"/>
      <c r="O401" s="410"/>
      <c r="P401" s="410"/>
      <c r="Q401" s="410"/>
      <c r="R401" s="410"/>
      <c r="S401" s="410"/>
      <c r="T401" s="410"/>
      <c r="U401" s="410"/>
      <c r="V401" s="410"/>
      <c r="W401" s="353"/>
    </row>
    <row r="402" spans="1:23" s="354" customFormat="1" ht="23.1" customHeight="1">
      <c r="A402" s="409"/>
      <c r="B402" s="409"/>
      <c r="C402" s="410"/>
      <c r="D402" s="410"/>
      <c r="E402" s="410"/>
      <c r="F402" s="410"/>
      <c r="G402" s="410"/>
      <c r="H402" s="410"/>
      <c r="I402" s="410"/>
      <c r="J402" s="410"/>
      <c r="K402" s="410"/>
      <c r="L402" s="410"/>
      <c r="M402" s="410"/>
      <c r="N402" s="410"/>
      <c r="O402" s="410"/>
      <c r="P402" s="410"/>
      <c r="Q402" s="410"/>
      <c r="R402" s="410"/>
      <c r="S402" s="410"/>
      <c r="T402" s="410"/>
      <c r="U402" s="410"/>
      <c r="V402" s="410"/>
      <c r="W402" s="353"/>
    </row>
    <row r="403" spans="1:23" s="354" customFormat="1" ht="23.1" customHeight="1">
      <c r="A403" s="409"/>
      <c r="B403" s="409"/>
      <c r="C403" s="410"/>
      <c r="D403" s="410"/>
      <c r="E403" s="410"/>
      <c r="F403" s="410"/>
      <c r="G403" s="410"/>
      <c r="H403" s="410"/>
      <c r="I403" s="410"/>
      <c r="J403" s="410"/>
      <c r="K403" s="410"/>
      <c r="L403" s="410"/>
      <c r="M403" s="410"/>
      <c r="N403" s="410"/>
      <c r="O403" s="410"/>
      <c r="P403" s="410"/>
      <c r="Q403" s="410"/>
      <c r="R403" s="410"/>
      <c r="S403" s="410"/>
      <c r="T403" s="410"/>
      <c r="U403" s="410"/>
      <c r="V403" s="410"/>
      <c r="W403" s="353"/>
    </row>
    <row r="404" spans="1:23" s="354" customFormat="1" ht="23.1" customHeight="1">
      <c r="A404" s="409"/>
      <c r="B404" s="409"/>
      <c r="C404" s="410"/>
      <c r="D404" s="410"/>
      <c r="E404" s="410"/>
      <c r="F404" s="410"/>
      <c r="G404" s="410"/>
      <c r="H404" s="410"/>
      <c r="I404" s="410"/>
      <c r="J404" s="410"/>
      <c r="K404" s="410"/>
      <c r="L404" s="410"/>
      <c r="M404" s="410"/>
      <c r="N404" s="410"/>
      <c r="O404" s="410"/>
      <c r="P404" s="410"/>
      <c r="Q404" s="410"/>
      <c r="R404" s="410"/>
      <c r="S404" s="410"/>
      <c r="T404" s="410"/>
      <c r="U404" s="410"/>
      <c r="V404" s="410"/>
      <c r="W404" s="353"/>
    </row>
    <row r="405" spans="1:23" s="354" customFormat="1" ht="23.1" customHeight="1">
      <c r="A405" s="409"/>
      <c r="B405" s="409"/>
      <c r="C405" s="410"/>
      <c r="D405" s="410"/>
      <c r="E405" s="410"/>
      <c r="F405" s="410"/>
      <c r="G405" s="410"/>
      <c r="H405" s="410"/>
      <c r="I405" s="410"/>
      <c r="J405" s="410"/>
      <c r="K405" s="410"/>
      <c r="L405" s="410"/>
      <c r="M405" s="410"/>
      <c r="N405" s="410"/>
      <c r="O405" s="410"/>
      <c r="P405" s="410"/>
      <c r="Q405" s="410"/>
      <c r="R405" s="410"/>
      <c r="S405" s="410"/>
      <c r="T405" s="410"/>
      <c r="U405" s="410"/>
      <c r="V405" s="410"/>
      <c r="W405" s="353"/>
    </row>
    <row r="406" spans="1:23" s="354" customFormat="1" ht="23.1" customHeight="1">
      <c r="A406" s="409"/>
      <c r="B406" s="409"/>
      <c r="C406" s="410"/>
      <c r="D406" s="410"/>
      <c r="E406" s="410"/>
      <c r="F406" s="410"/>
      <c r="G406" s="410"/>
      <c r="H406" s="410"/>
      <c r="I406" s="410"/>
      <c r="J406" s="410"/>
      <c r="K406" s="410"/>
      <c r="L406" s="410"/>
      <c r="M406" s="410"/>
      <c r="N406" s="410"/>
      <c r="O406" s="410"/>
      <c r="P406" s="410"/>
      <c r="Q406" s="410"/>
      <c r="R406" s="410"/>
      <c r="S406" s="410"/>
      <c r="T406" s="410"/>
      <c r="U406" s="410"/>
      <c r="V406" s="410"/>
      <c r="W406" s="353"/>
    </row>
    <row r="407" spans="1:23" s="354" customFormat="1" ht="23.1" customHeight="1">
      <c r="A407" s="409"/>
      <c r="B407" s="409"/>
      <c r="C407" s="410"/>
      <c r="D407" s="410"/>
      <c r="E407" s="410"/>
      <c r="F407" s="410"/>
      <c r="G407" s="410"/>
      <c r="H407" s="410"/>
      <c r="I407" s="410"/>
      <c r="J407" s="410"/>
      <c r="K407" s="410"/>
      <c r="L407" s="410"/>
      <c r="M407" s="410"/>
      <c r="N407" s="410"/>
      <c r="O407" s="410"/>
      <c r="P407" s="410"/>
      <c r="Q407" s="410"/>
      <c r="R407" s="410"/>
      <c r="S407" s="410"/>
      <c r="T407" s="410"/>
      <c r="U407" s="410"/>
      <c r="V407" s="410"/>
      <c r="W407" s="353"/>
    </row>
    <row r="408" spans="1:23" s="354" customFormat="1" ht="23.1" customHeight="1">
      <c r="A408" s="409"/>
      <c r="B408" s="409"/>
      <c r="C408" s="410"/>
      <c r="D408" s="410"/>
      <c r="E408" s="410"/>
      <c r="F408" s="410"/>
      <c r="G408" s="410"/>
      <c r="H408" s="410"/>
      <c r="I408" s="410"/>
      <c r="J408" s="410"/>
      <c r="K408" s="410"/>
      <c r="L408" s="410"/>
      <c r="M408" s="410"/>
      <c r="N408" s="410"/>
      <c r="O408" s="410"/>
      <c r="P408" s="410"/>
      <c r="Q408" s="410"/>
      <c r="R408" s="410"/>
      <c r="S408" s="410"/>
      <c r="T408" s="410"/>
      <c r="U408" s="410"/>
      <c r="V408" s="410"/>
      <c r="W408" s="353"/>
    </row>
    <row r="409" spans="1:23" s="354" customFormat="1" ht="23.1" customHeight="1">
      <c r="A409" s="409"/>
      <c r="B409" s="409"/>
      <c r="C409" s="410"/>
      <c r="D409" s="410"/>
      <c r="E409" s="410"/>
      <c r="F409" s="410"/>
      <c r="G409" s="410"/>
      <c r="H409" s="410"/>
      <c r="I409" s="410"/>
      <c r="J409" s="410"/>
      <c r="K409" s="410"/>
      <c r="L409" s="410"/>
      <c r="M409" s="410"/>
      <c r="N409" s="410"/>
      <c r="O409" s="410"/>
      <c r="P409" s="410"/>
      <c r="Q409" s="410"/>
      <c r="R409" s="410"/>
      <c r="S409" s="410"/>
      <c r="T409" s="410"/>
      <c r="U409" s="410"/>
      <c r="V409" s="410"/>
      <c r="W409" s="353"/>
    </row>
    <row r="410" spans="1:23" s="354" customFormat="1" ht="23.1" customHeight="1">
      <c r="A410" s="409"/>
      <c r="B410" s="409"/>
      <c r="C410" s="410"/>
      <c r="D410" s="410"/>
      <c r="E410" s="410"/>
      <c r="F410" s="410"/>
      <c r="G410" s="410"/>
      <c r="H410" s="410"/>
      <c r="I410" s="410"/>
      <c r="J410" s="410"/>
      <c r="K410" s="410"/>
      <c r="L410" s="410"/>
      <c r="M410" s="410"/>
      <c r="N410" s="410"/>
      <c r="O410" s="410"/>
      <c r="P410" s="410"/>
      <c r="Q410" s="410"/>
      <c r="R410" s="410"/>
      <c r="S410" s="410"/>
      <c r="T410" s="410"/>
      <c r="U410" s="410"/>
      <c r="V410" s="410"/>
      <c r="W410" s="353"/>
    </row>
    <row r="411" spans="1:23" s="354" customFormat="1" ht="23.1" customHeight="1">
      <c r="A411" s="409"/>
      <c r="B411" s="409"/>
      <c r="C411" s="410"/>
      <c r="D411" s="410"/>
      <c r="E411" s="410"/>
      <c r="F411" s="410"/>
      <c r="G411" s="410"/>
      <c r="H411" s="410"/>
      <c r="I411" s="410"/>
      <c r="J411" s="410"/>
      <c r="K411" s="410"/>
      <c r="L411" s="410"/>
      <c r="M411" s="410"/>
      <c r="N411" s="410"/>
      <c r="O411" s="410"/>
      <c r="P411" s="410"/>
      <c r="Q411" s="410"/>
      <c r="R411" s="410"/>
      <c r="S411" s="410"/>
      <c r="T411" s="410"/>
      <c r="U411" s="410"/>
      <c r="V411" s="410"/>
      <c r="W411" s="353"/>
    </row>
    <row r="412" spans="1:23" s="354" customFormat="1" ht="23.1" customHeight="1">
      <c r="A412" s="409"/>
      <c r="B412" s="409"/>
      <c r="C412" s="410"/>
      <c r="D412" s="410"/>
      <c r="E412" s="410"/>
      <c r="F412" s="410"/>
      <c r="G412" s="410"/>
      <c r="H412" s="410"/>
      <c r="I412" s="410"/>
      <c r="J412" s="410"/>
      <c r="K412" s="410"/>
      <c r="L412" s="410"/>
      <c r="M412" s="410"/>
      <c r="N412" s="410"/>
      <c r="O412" s="410"/>
      <c r="P412" s="410"/>
      <c r="Q412" s="410"/>
      <c r="R412" s="410"/>
      <c r="S412" s="410"/>
      <c r="T412" s="410"/>
      <c r="U412" s="410"/>
      <c r="V412" s="410"/>
      <c r="W412" s="353"/>
    </row>
    <row r="413" spans="1:23" s="352" customFormat="1" ht="20.100000000000001" customHeight="1">
      <c r="A413" s="409"/>
      <c r="B413" s="409"/>
      <c r="C413" s="410"/>
      <c r="D413" s="410"/>
      <c r="E413" s="410"/>
      <c r="F413" s="410"/>
      <c r="G413" s="410"/>
      <c r="H413" s="410"/>
      <c r="I413" s="410"/>
      <c r="J413" s="410"/>
      <c r="K413" s="410"/>
      <c r="L413" s="410"/>
      <c r="M413" s="410"/>
      <c r="N413" s="410"/>
      <c r="O413" s="410"/>
      <c r="P413" s="410"/>
      <c r="Q413" s="410"/>
      <c r="R413" s="410"/>
      <c r="S413" s="410"/>
      <c r="T413" s="410"/>
      <c r="U413" s="410"/>
      <c r="V413" s="410"/>
    </row>
    <row r="414" spans="1:23" s="352" customFormat="1" ht="9.9499999999999993" customHeight="1">
      <c r="A414" s="409"/>
      <c r="B414" s="409"/>
      <c r="C414" s="410"/>
      <c r="D414" s="410"/>
      <c r="E414" s="410"/>
      <c r="F414" s="410"/>
      <c r="G414" s="410"/>
      <c r="H414" s="410"/>
      <c r="I414" s="410"/>
      <c r="J414" s="410"/>
      <c r="K414" s="410"/>
      <c r="L414" s="410"/>
      <c r="M414" s="410"/>
      <c r="N414" s="410"/>
      <c r="O414" s="410"/>
      <c r="P414" s="410"/>
      <c r="Q414" s="410"/>
      <c r="R414" s="410"/>
      <c r="S414" s="410"/>
      <c r="T414" s="410"/>
      <c r="U414" s="410"/>
      <c r="V414" s="410"/>
    </row>
    <row r="415" spans="1:23" s="354" customFormat="1" ht="27.95" customHeight="1">
      <c r="A415" s="409"/>
      <c r="B415" s="409"/>
      <c r="C415" s="410"/>
      <c r="D415" s="410"/>
      <c r="E415" s="410"/>
      <c r="F415" s="410"/>
      <c r="G415" s="410"/>
      <c r="H415" s="410"/>
      <c r="I415" s="410"/>
      <c r="J415" s="410"/>
      <c r="K415" s="410"/>
      <c r="L415" s="410"/>
      <c r="M415" s="410"/>
      <c r="N415" s="410"/>
      <c r="O415" s="410"/>
      <c r="P415" s="410"/>
      <c r="Q415" s="410"/>
      <c r="R415" s="410"/>
      <c r="S415" s="410"/>
      <c r="T415" s="410"/>
      <c r="U415" s="410"/>
      <c r="V415" s="410"/>
      <c r="W415" s="353"/>
    </row>
    <row r="416" spans="1:23" s="354" customFormat="1" ht="27.95" customHeight="1">
      <c r="A416" s="409"/>
      <c r="B416" s="409"/>
      <c r="C416" s="410"/>
      <c r="D416" s="410"/>
      <c r="E416" s="410"/>
      <c r="F416" s="410"/>
      <c r="G416" s="410"/>
      <c r="H416" s="410"/>
      <c r="I416" s="410"/>
      <c r="J416" s="410"/>
      <c r="K416" s="410"/>
      <c r="L416" s="410"/>
      <c r="M416" s="410"/>
      <c r="N416" s="410"/>
      <c r="O416" s="410"/>
      <c r="P416" s="410"/>
      <c r="Q416" s="410"/>
      <c r="R416" s="410"/>
      <c r="S416" s="410"/>
      <c r="T416" s="410"/>
      <c r="U416" s="410"/>
      <c r="V416" s="410"/>
      <c r="W416" s="353"/>
    </row>
    <row r="417" spans="1:23" s="354" customFormat="1" ht="23.1" customHeight="1">
      <c r="A417" s="409"/>
      <c r="B417" s="409"/>
      <c r="C417" s="410"/>
      <c r="D417" s="410"/>
      <c r="E417" s="410"/>
      <c r="F417" s="410"/>
      <c r="G417" s="410"/>
      <c r="H417" s="410"/>
      <c r="I417" s="410"/>
      <c r="J417" s="410"/>
      <c r="K417" s="410"/>
      <c r="L417" s="410"/>
      <c r="M417" s="410"/>
      <c r="N417" s="410"/>
      <c r="O417" s="410"/>
      <c r="P417" s="410"/>
      <c r="Q417" s="410"/>
      <c r="R417" s="410"/>
      <c r="S417" s="410"/>
      <c r="T417" s="410"/>
      <c r="U417" s="410"/>
      <c r="V417" s="410"/>
      <c r="W417" s="353"/>
    </row>
    <row r="418" spans="1:23" s="354" customFormat="1" ht="23.1" customHeight="1">
      <c r="A418" s="409"/>
      <c r="B418" s="409"/>
      <c r="C418" s="410"/>
      <c r="D418" s="410"/>
      <c r="E418" s="410"/>
      <c r="F418" s="410"/>
      <c r="G418" s="410"/>
      <c r="H418" s="410"/>
      <c r="I418" s="410"/>
      <c r="J418" s="410"/>
      <c r="K418" s="410"/>
      <c r="L418" s="410"/>
      <c r="M418" s="410"/>
      <c r="N418" s="410"/>
      <c r="O418" s="410"/>
      <c r="P418" s="410"/>
      <c r="Q418" s="410"/>
      <c r="R418" s="410"/>
      <c r="S418" s="410"/>
      <c r="T418" s="410"/>
      <c r="U418" s="410"/>
      <c r="V418" s="410"/>
      <c r="W418" s="353"/>
    </row>
    <row r="419" spans="1:23" s="354" customFormat="1" ht="23.1" customHeight="1">
      <c r="A419" s="409"/>
      <c r="B419" s="409"/>
      <c r="C419" s="410"/>
      <c r="D419" s="410"/>
      <c r="E419" s="410"/>
      <c r="F419" s="410"/>
      <c r="G419" s="410"/>
      <c r="H419" s="410"/>
      <c r="I419" s="410"/>
      <c r="J419" s="410"/>
      <c r="K419" s="410"/>
      <c r="L419" s="410"/>
      <c r="M419" s="410"/>
      <c r="N419" s="410"/>
      <c r="O419" s="410"/>
      <c r="P419" s="410"/>
      <c r="Q419" s="410"/>
      <c r="R419" s="410"/>
      <c r="S419" s="410"/>
      <c r="T419" s="410"/>
      <c r="U419" s="410"/>
      <c r="V419" s="410"/>
      <c r="W419" s="353"/>
    </row>
    <row r="420" spans="1:23" s="354" customFormat="1" ht="23.1" customHeight="1">
      <c r="A420" s="409"/>
      <c r="B420" s="409"/>
      <c r="C420" s="410"/>
      <c r="D420" s="410"/>
      <c r="E420" s="410"/>
      <c r="F420" s="410"/>
      <c r="G420" s="410"/>
      <c r="H420" s="410"/>
      <c r="I420" s="410"/>
      <c r="J420" s="410"/>
      <c r="K420" s="410"/>
      <c r="L420" s="410"/>
      <c r="M420" s="410"/>
      <c r="N420" s="410"/>
      <c r="O420" s="410"/>
      <c r="P420" s="410"/>
      <c r="Q420" s="410"/>
      <c r="R420" s="410"/>
      <c r="S420" s="410"/>
      <c r="T420" s="410"/>
      <c r="U420" s="410"/>
      <c r="V420" s="410"/>
      <c r="W420" s="353"/>
    </row>
    <row r="421" spans="1:23" s="354" customFormat="1" ht="23.1" customHeight="1">
      <c r="A421" s="409"/>
      <c r="B421" s="409"/>
      <c r="C421" s="410"/>
      <c r="D421" s="410"/>
      <c r="E421" s="410"/>
      <c r="F421" s="410"/>
      <c r="G421" s="410"/>
      <c r="H421" s="410"/>
      <c r="I421" s="410"/>
      <c r="J421" s="410"/>
      <c r="K421" s="410"/>
      <c r="L421" s="410"/>
      <c r="M421" s="410"/>
      <c r="N421" s="410"/>
      <c r="O421" s="410"/>
      <c r="P421" s="410"/>
      <c r="Q421" s="410"/>
      <c r="R421" s="410"/>
      <c r="S421" s="410"/>
      <c r="T421" s="410"/>
      <c r="U421" s="410"/>
      <c r="V421" s="410"/>
      <c r="W421" s="353"/>
    </row>
    <row r="422" spans="1:23" s="354" customFormat="1" ht="23.1" customHeight="1">
      <c r="A422" s="409"/>
      <c r="B422" s="409"/>
      <c r="C422" s="410"/>
      <c r="D422" s="410"/>
      <c r="E422" s="410"/>
      <c r="F422" s="410"/>
      <c r="G422" s="410"/>
      <c r="H422" s="410"/>
      <c r="I422" s="410"/>
      <c r="J422" s="410"/>
      <c r="K422" s="410"/>
      <c r="L422" s="410"/>
      <c r="M422" s="410"/>
      <c r="N422" s="410"/>
      <c r="O422" s="410"/>
      <c r="P422" s="410"/>
      <c r="Q422" s="410"/>
      <c r="R422" s="410"/>
      <c r="S422" s="410"/>
      <c r="T422" s="410"/>
      <c r="U422" s="410"/>
      <c r="V422" s="410"/>
      <c r="W422" s="353"/>
    </row>
    <row r="423" spans="1:23" s="354" customFormat="1" ht="23.1" customHeight="1">
      <c r="A423" s="409"/>
      <c r="B423" s="409"/>
      <c r="C423" s="410"/>
      <c r="D423" s="410"/>
      <c r="E423" s="410"/>
      <c r="F423" s="410"/>
      <c r="G423" s="410"/>
      <c r="H423" s="410"/>
      <c r="I423" s="410"/>
      <c r="J423" s="410"/>
      <c r="K423" s="410"/>
      <c r="L423" s="410"/>
      <c r="M423" s="410"/>
      <c r="N423" s="410"/>
      <c r="O423" s="410"/>
      <c r="P423" s="410"/>
      <c r="Q423" s="410"/>
      <c r="R423" s="410"/>
      <c r="S423" s="410"/>
      <c r="T423" s="410"/>
      <c r="U423" s="410"/>
      <c r="V423" s="410"/>
      <c r="W423" s="353"/>
    </row>
    <row r="424" spans="1:23" s="354" customFormat="1" ht="23.1" customHeight="1">
      <c r="A424" s="409"/>
      <c r="B424" s="409"/>
      <c r="C424" s="410"/>
      <c r="D424" s="410"/>
      <c r="E424" s="410"/>
      <c r="F424" s="410"/>
      <c r="G424" s="410"/>
      <c r="H424" s="410"/>
      <c r="I424" s="410"/>
      <c r="J424" s="410"/>
      <c r="K424" s="410"/>
      <c r="L424" s="410"/>
      <c r="M424" s="410"/>
      <c r="N424" s="410"/>
      <c r="O424" s="410"/>
      <c r="P424" s="410"/>
      <c r="Q424" s="410"/>
      <c r="R424" s="410"/>
      <c r="S424" s="410"/>
      <c r="T424" s="410"/>
      <c r="U424" s="410"/>
      <c r="V424" s="410"/>
      <c r="W424" s="353"/>
    </row>
    <row r="425" spans="1:23" s="354" customFormat="1" ht="23.1" customHeight="1">
      <c r="A425" s="409"/>
      <c r="B425" s="409"/>
      <c r="C425" s="410"/>
      <c r="D425" s="410"/>
      <c r="E425" s="410"/>
      <c r="F425" s="410"/>
      <c r="G425" s="410"/>
      <c r="H425" s="410"/>
      <c r="I425" s="410"/>
      <c r="J425" s="410"/>
      <c r="K425" s="410"/>
      <c r="L425" s="410"/>
      <c r="M425" s="410"/>
      <c r="N425" s="410"/>
      <c r="O425" s="410"/>
      <c r="P425" s="410"/>
      <c r="Q425" s="410"/>
      <c r="R425" s="410"/>
      <c r="S425" s="410"/>
      <c r="T425" s="410"/>
      <c r="U425" s="410"/>
      <c r="V425" s="410"/>
      <c r="W425" s="353"/>
    </row>
    <row r="426" spans="1:23" s="354" customFormat="1" ht="23.1" customHeight="1">
      <c r="A426" s="409"/>
      <c r="B426" s="409"/>
      <c r="C426" s="410"/>
      <c r="D426" s="410"/>
      <c r="E426" s="410"/>
      <c r="F426" s="410"/>
      <c r="G426" s="410"/>
      <c r="H426" s="410"/>
      <c r="I426" s="410"/>
      <c r="J426" s="410"/>
      <c r="K426" s="410"/>
      <c r="L426" s="410"/>
      <c r="M426" s="410"/>
      <c r="N426" s="410"/>
      <c r="O426" s="410"/>
      <c r="P426" s="410"/>
      <c r="Q426" s="410"/>
      <c r="R426" s="410"/>
      <c r="S426" s="410"/>
      <c r="T426" s="410"/>
      <c r="U426" s="410"/>
      <c r="V426" s="410"/>
      <c r="W426" s="353"/>
    </row>
    <row r="427" spans="1:23" s="354" customFormat="1" ht="23.1" customHeight="1">
      <c r="A427" s="409"/>
      <c r="B427" s="409"/>
      <c r="C427" s="410"/>
      <c r="D427" s="410"/>
      <c r="E427" s="410"/>
      <c r="F427" s="410"/>
      <c r="G427" s="410"/>
      <c r="H427" s="410"/>
      <c r="I427" s="410"/>
      <c r="J427" s="410"/>
      <c r="K427" s="410"/>
      <c r="L427" s="410"/>
      <c r="M427" s="410"/>
      <c r="N427" s="410"/>
      <c r="O427" s="410"/>
      <c r="P427" s="410"/>
      <c r="Q427" s="410"/>
      <c r="R427" s="410"/>
      <c r="S427" s="410"/>
      <c r="T427" s="410"/>
      <c r="U427" s="410"/>
      <c r="V427" s="410"/>
      <c r="W427" s="353"/>
    </row>
    <row r="428" spans="1:23" s="354" customFormat="1" ht="23.1" customHeight="1">
      <c r="A428" s="409"/>
      <c r="B428" s="409"/>
      <c r="C428" s="410"/>
      <c r="D428" s="410"/>
      <c r="E428" s="410"/>
      <c r="F428" s="410"/>
      <c r="G428" s="410"/>
      <c r="H428" s="410"/>
      <c r="I428" s="410"/>
      <c r="J428" s="410"/>
      <c r="K428" s="410"/>
      <c r="L428" s="410"/>
      <c r="M428" s="410"/>
      <c r="N428" s="410"/>
      <c r="O428" s="410"/>
      <c r="P428" s="410"/>
      <c r="Q428" s="410"/>
      <c r="R428" s="410"/>
      <c r="S428" s="410"/>
      <c r="T428" s="410"/>
      <c r="U428" s="410"/>
      <c r="V428" s="410"/>
      <c r="W428" s="353"/>
    </row>
    <row r="429" spans="1:23" s="354" customFormat="1" ht="23.1" customHeight="1">
      <c r="A429" s="409"/>
      <c r="B429" s="409"/>
      <c r="C429" s="410"/>
      <c r="D429" s="410"/>
      <c r="E429" s="410"/>
      <c r="F429" s="410"/>
      <c r="G429" s="410"/>
      <c r="H429" s="410"/>
      <c r="I429" s="410"/>
      <c r="J429" s="410"/>
      <c r="K429" s="410"/>
      <c r="L429" s="410"/>
      <c r="M429" s="410"/>
      <c r="N429" s="410"/>
      <c r="O429" s="410"/>
      <c r="P429" s="410"/>
      <c r="Q429" s="410"/>
      <c r="R429" s="410"/>
      <c r="S429" s="410"/>
      <c r="T429" s="410"/>
      <c r="U429" s="410"/>
      <c r="V429" s="410"/>
      <c r="W429" s="353"/>
    </row>
    <row r="430" spans="1:23" s="354" customFormat="1" ht="23.1" customHeight="1">
      <c r="A430" s="409"/>
      <c r="B430" s="409"/>
      <c r="C430" s="410"/>
      <c r="D430" s="410"/>
      <c r="E430" s="410"/>
      <c r="F430" s="410"/>
      <c r="G430" s="410"/>
      <c r="H430" s="410"/>
      <c r="I430" s="410"/>
      <c r="J430" s="410"/>
      <c r="K430" s="410"/>
      <c r="L430" s="410"/>
      <c r="M430" s="410"/>
      <c r="N430" s="410"/>
      <c r="O430" s="410"/>
      <c r="P430" s="410"/>
      <c r="Q430" s="410"/>
      <c r="R430" s="410"/>
      <c r="S430" s="410"/>
      <c r="T430" s="410"/>
      <c r="U430" s="410"/>
      <c r="V430" s="410"/>
      <c r="W430" s="353"/>
    </row>
    <row r="431" spans="1:23" s="354" customFormat="1" ht="23.1" customHeight="1">
      <c r="A431" s="409"/>
      <c r="B431" s="409"/>
      <c r="C431" s="410"/>
      <c r="D431" s="410"/>
      <c r="E431" s="410"/>
      <c r="F431" s="410"/>
      <c r="G431" s="410"/>
      <c r="H431" s="410"/>
      <c r="I431" s="410"/>
      <c r="J431" s="410"/>
      <c r="K431" s="410"/>
      <c r="L431" s="410"/>
      <c r="M431" s="410"/>
      <c r="N431" s="410"/>
      <c r="O431" s="410"/>
      <c r="P431" s="410"/>
      <c r="Q431" s="410"/>
      <c r="R431" s="410"/>
      <c r="S431" s="410"/>
      <c r="T431" s="410"/>
      <c r="U431" s="410"/>
      <c r="V431" s="410"/>
      <c r="W431" s="353"/>
    </row>
    <row r="432" spans="1:23" s="354" customFormat="1" ht="23.1" customHeight="1">
      <c r="A432" s="409"/>
      <c r="B432" s="409"/>
      <c r="C432" s="410"/>
      <c r="D432" s="410"/>
      <c r="E432" s="410"/>
      <c r="F432" s="410"/>
      <c r="G432" s="410"/>
      <c r="H432" s="410"/>
      <c r="I432" s="410"/>
      <c r="J432" s="410"/>
      <c r="K432" s="410"/>
      <c r="L432" s="410"/>
      <c r="M432" s="410"/>
      <c r="N432" s="410"/>
      <c r="O432" s="410"/>
      <c r="P432" s="410"/>
      <c r="Q432" s="410"/>
      <c r="R432" s="410"/>
      <c r="S432" s="410"/>
      <c r="T432" s="410"/>
      <c r="U432" s="410"/>
      <c r="V432" s="410"/>
      <c r="W432" s="353"/>
    </row>
    <row r="433" spans="1:23" s="354" customFormat="1" ht="23.1" customHeight="1">
      <c r="A433" s="409"/>
      <c r="B433" s="409"/>
      <c r="C433" s="410"/>
      <c r="D433" s="410"/>
      <c r="E433" s="410"/>
      <c r="F433" s="410"/>
      <c r="G433" s="410"/>
      <c r="H433" s="410"/>
      <c r="I433" s="410"/>
      <c r="J433" s="410"/>
      <c r="K433" s="410"/>
      <c r="L433" s="410"/>
      <c r="M433" s="410"/>
      <c r="N433" s="410"/>
      <c r="O433" s="410"/>
      <c r="P433" s="410"/>
      <c r="Q433" s="410"/>
      <c r="R433" s="410"/>
      <c r="S433" s="410"/>
      <c r="T433" s="410"/>
      <c r="U433" s="410"/>
      <c r="V433" s="410"/>
      <c r="W433" s="353"/>
    </row>
    <row r="434" spans="1:23" s="354" customFormat="1" ht="23.1" customHeight="1">
      <c r="A434" s="409"/>
      <c r="B434" s="409"/>
      <c r="C434" s="410"/>
      <c r="D434" s="410"/>
      <c r="E434" s="410"/>
      <c r="F434" s="410"/>
      <c r="G434" s="410"/>
      <c r="H434" s="410"/>
      <c r="I434" s="410"/>
      <c r="J434" s="410"/>
      <c r="K434" s="410"/>
      <c r="L434" s="410"/>
      <c r="M434" s="410"/>
      <c r="N434" s="410"/>
      <c r="O434" s="410"/>
      <c r="P434" s="410"/>
      <c r="Q434" s="410"/>
      <c r="R434" s="410"/>
      <c r="S434" s="410"/>
      <c r="T434" s="410"/>
      <c r="U434" s="410"/>
      <c r="V434" s="410"/>
      <c r="W434" s="353"/>
    </row>
    <row r="435" spans="1:23" s="354" customFormat="1" ht="23.1" customHeight="1">
      <c r="A435" s="409"/>
      <c r="B435" s="409"/>
      <c r="C435" s="410"/>
      <c r="D435" s="410"/>
      <c r="E435" s="410"/>
      <c r="F435" s="410"/>
      <c r="G435" s="410"/>
      <c r="H435" s="410"/>
      <c r="I435" s="410"/>
      <c r="J435" s="410"/>
      <c r="K435" s="410"/>
      <c r="L435" s="410"/>
      <c r="M435" s="410"/>
      <c r="N435" s="410"/>
      <c r="O435" s="410"/>
      <c r="P435" s="410"/>
      <c r="Q435" s="410"/>
      <c r="R435" s="410"/>
      <c r="S435" s="410"/>
      <c r="T435" s="410"/>
      <c r="U435" s="410"/>
      <c r="V435" s="410"/>
      <c r="W435" s="353"/>
    </row>
    <row r="436" spans="1:23" s="354" customFormat="1" ht="23.1" customHeight="1">
      <c r="A436" s="409"/>
      <c r="B436" s="409"/>
      <c r="C436" s="410"/>
      <c r="D436" s="410"/>
      <c r="E436" s="410"/>
      <c r="F436" s="410"/>
      <c r="G436" s="410"/>
      <c r="H436" s="410"/>
      <c r="I436" s="410"/>
      <c r="J436" s="410"/>
      <c r="K436" s="410"/>
      <c r="L436" s="410"/>
      <c r="M436" s="410"/>
      <c r="N436" s="410"/>
      <c r="O436" s="410"/>
      <c r="P436" s="410"/>
      <c r="Q436" s="410"/>
      <c r="R436" s="410"/>
      <c r="S436" s="410"/>
      <c r="T436" s="410"/>
      <c r="U436" s="410"/>
      <c r="V436" s="410"/>
      <c r="W436" s="353"/>
    </row>
    <row r="437" spans="1:23" s="354" customFormat="1" ht="23.1" customHeight="1">
      <c r="A437" s="409"/>
      <c r="B437" s="409"/>
      <c r="C437" s="410"/>
      <c r="D437" s="410"/>
      <c r="E437" s="410"/>
      <c r="F437" s="410"/>
      <c r="G437" s="410"/>
      <c r="H437" s="410"/>
      <c r="I437" s="410"/>
      <c r="J437" s="410"/>
      <c r="K437" s="410"/>
      <c r="L437" s="410"/>
      <c r="M437" s="410"/>
      <c r="N437" s="410"/>
      <c r="O437" s="410"/>
      <c r="P437" s="410"/>
      <c r="Q437" s="410"/>
      <c r="R437" s="410"/>
      <c r="S437" s="410"/>
      <c r="T437" s="410"/>
      <c r="U437" s="410"/>
      <c r="V437" s="410"/>
      <c r="W437" s="353"/>
    </row>
    <row r="438" spans="1:23" s="354" customFormat="1" ht="23.1" customHeight="1">
      <c r="A438" s="409"/>
      <c r="B438" s="409"/>
      <c r="C438" s="410"/>
      <c r="D438" s="410"/>
      <c r="E438" s="410"/>
      <c r="F438" s="410"/>
      <c r="G438" s="410"/>
      <c r="H438" s="410"/>
      <c r="I438" s="410"/>
      <c r="J438" s="410"/>
      <c r="K438" s="410"/>
      <c r="L438" s="410"/>
      <c r="M438" s="410"/>
      <c r="N438" s="410"/>
      <c r="O438" s="410"/>
      <c r="P438" s="410"/>
      <c r="Q438" s="410"/>
      <c r="R438" s="410"/>
      <c r="S438" s="410"/>
      <c r="T438" s="410"/>
      <c r="U438" s="410"/>
      <c r="V438" s="410"/>
      <c r="W438" s="353"/>
    </row>
    <row r="439" spans="1:23" s="354" customFormat="1" ht="23.1" customHeight="1">
      <c r="A439" s="409"/>
      <c r="B439" s="409"/>
      <c r="C439" s="410"/>
      <c r="D439" s="410"/>
      <c r="E439" s="410"/>
      <c r="F439" s="410"/>
      <c r="G439" s="410"/>
      <c r="H439" s="410"/>
      <c r="I439" s="410"/>
      <c r="J439" s="410"/>
      <c r="K439" s="410"/>
      <c r="L439" s="410"/>
      <c r="M439" s="410"/>
      <c r="N439" s="410"/>
      <c r="O439" s="410"/>
      <c r="P439" s="410"/>
      <c r="Q439" s="410"/>
      <c r="R439" s="410"/>
      <c r="S439" s="410"/>
      <c r="T439" s="410"/>
      <c r="U439" s="410"/>
      <c r="V439" s="410"/>
      <c r="W439" s="353"/>
    </row>
    <row r="440" spans="1:23" s="354" customFormat="1" ht="23.1" customHeight="1">
      <c r="A440" s="409"/>
      <c r="B440" s="409"/>
      <c r="C440" s="410"/>
      <c r="D440" s="410"/>
      <c r="E440" s="410"/>
      <c r="F440" s="410"/>
      <c r="G440" s="410"/>
      <c r="H440" s="410"/>
      <c r="I440" s="410"/>
      <c r="J440" s="410"/>
      <c r="K440" s="410"/>
      <c r="L440" s="410"/>
      <c r="M440" s="410"/>
      <c r="N440" s="410"/>
      <c r="O440" s="410"/>
      <c r="P440" s="410"/>
      <c r="Q440" s="410"/>
      <c r="R440" s="410"/>
      <c r="S440" s="410"/>
      <c r="T440" s="410"/>
      <c r="U440" s="410"/>
      <c r="V440" s="410"/>
      <c r="W440" s="353"/>
    </row>
    <row r="441" spans="1:23" s="354" customFormat="1" ht="23.1" customHeight="1">
      <c r="A441" s="409"/>
      <c r="B441" s="409"/>
      <c r="C441" s="410"/>
      <c r="D441" s="410"/>
      <c r="E441" s="410"/>
      <c r="F441" s="410"/>
      <c r="G441" s="410"/>
      <c r="H441" s="410"/>
      <c r="I441" s="410"/>
      <c r="J441" s="410"/>
      <c r="K441" s="410"/>
      <c r="L441" s="410"/>
      <c r="M441" s="410"/>
      <c r="N441" s="410"/>
      <c r="O441" s="410"/>
      <c r="P441" s="410"/>
      <c r="Q441" s="410"/>
      <c r="R441" s="410"/>
      <c r="S441" s="410"/>
      <c r="T441" s="410"/>
      <c r="U441" s="410"/>
      <c r="V441" s="410"/>
      <c r="W441" s="353"/>
    </row>
    <row r="442" spans="1:23" s="354" customFormat="1" ht="23.1" customHeight="1">
      <c r="A442" s="409"/>
      <c r="B442" s="409"/>
      <c r="C442" s="410"/>
      <c r="D442" s="410"/>
      <c r="E442" s="410"/>
      <c r="F442" s="410"/>
      <c r="G442" s="410"/>
      <c r="H442" s="410"/>
      <c r="I442" s="410"/>
      <c r="J442" s="410"/>
      <c r="K442" s="410"/>
      <c r="L442" s="410"/>
      <c r="M442" s="410"/>
      <c r="N442" s="410"/>
      <c r="O442" s="410"/>
      <c r="P442" s="410"/>
      <c r="Q442" s="410"/>
      <c r="R442" s="410"/>
      <c r="S442" s="410"/>
      <c r="T442" s="410"/>
      <c r="U442" s="410"/>
      <c r="V442" s="410"/>
      <c r="W442" s="353"/>
    </row>
    <row r="443" spans="1:23" s="352" customFormat="1" ht="20.100000000000001" customHeight="1">
      <c r="A443" s="409"/>
      <c r="B443" s="409"/>
      <c r="C443" s="410"/>
      <c r="D443" s="410"/>
      <c r="E443" s="410"/>
      <c r="F443" s="410"/>
      <c r="G443" s="410"/>
      <c r="H443" s="410"/>
      <c r="I443" s="410"/>
      <c r="J443" s="410"/>
      <c r="K443" s="410"/>
      <c r="L443" s="410"/>
      <c r="M443" s="410"/>
      <c r="N443" s="410"/>
      <c r="O443" s="410"/>
      <c r="P443" s="410"/>
      <c r="Q443" s="410"/>
      <c r="R443" s="410"/>
      <c r="S443" s="410"/>
      <c r="T443" s="410"/>
      <c r="U443" s="410"/>
      <c r="V443" s="410"/>
    </row>
    <row r="444" spans="1:23" s="352" customFormat="1" ht="9.9499999999999993" customHeight="1">
      <c r="A444" s="409"/>
      <c r="B444" s="409"/>
      <c r="C444" s="410"/>
      <c r="D444" s="410"/>
      <c r="E444" s="410"/>
      <c r="F444" s="410"/>
      <c r="G444" s="410"/>
      <c r="H444" s="410"/>
      <c r="I444" s="410"/>
      <c r="J444" s="410"/>
      <c r="K444" s="410"/>
      <c r="L444" s="410"/>
      <c r="M444" s="410"/>
      <c r="N444" s="410"/>
      <c r="O444" s="410"/>
      <c r="P444" s="410"/>
      <c r="Q444" s="410"/>
      <c r="R444" s="410"/>
      <c r="S444" s="410"/>
      <c r="T444" s="410"/>
      <c r="U444" s="410"/>
      <c r="V444" s="410"/>
    </row>
    <row r="445" spans="1:23" s="354" customFormat="1" ht="27.95" customHeight="1">
      <c r="A445" s="409"/>
      <c r="B445" s="409"/>
      <c r="C445" s="410"/>
      <c r="D445" s="410"/>
      <c r="E445" s="410"/>
      <c r="F445" s="410"/>
      <c r="G445" s="410"/>
      <c r="H445" s="410"/>
      <c r="I445" s="410"/>
      <c r="J445" s="410"/>
      <c r="K445" s="410"/>
      <c r="L445" s="410"/>
      <c r="M445" s="410"/>
      <c r="N445" s="410"/>
      <c r="O445" s="410"/>
      <c r="P445" s="410"/>
      <c r="Q445" s="410"/>
      <c r="R445" s="410"/>
      <c r="S445" s="410"/>
      <c r="T445" s="410"/>
      <c r="U445" s="410"/>
      <c r="V445" s="410"/>
      <c r="W445" s="353"/>
    </row>
    <row r="446" spans="1:23" s="354" customFormat="1" ht="27.95" customHeight="1">
      <c r="A446" s="409"/>
      <c r="B446" s="409"/>
      <c r="C446" s="410"/>
      <c r="D446" s="410"/>
      <c r="E446" s="410"/>
      <c r="F446" s="410"/>
      <c r="G446" s="410"/>
      <c r="H446" s="410"/>
      <c r="I446" s="410"/>
      <c r="J446" s="410"/>
      <c r="K446" s="410"/>
      <c r="L446" s="410"/>
      <c r="M446" s="410"/>
      <c r="N446" s="410"/>
      <c r="O446" s="410"/>
      <c r="P446" s="410"/>
      <c r="Q446" s="410"/>
      <c r="R446" s="410"/>
      <c r="S446" s="410"/>
      <c r="T446" s="410"/>
      <c r="U446" s="410"/>
      <c r="V446" s="410"/>
      <c r="W446" s="353"/>
    </row>
    <row r="447" spans="1:23" s="354" customFormat="1" ht="23.1" customHeight="1">
      <c r="A447" s="409"/>
      <c r="B447" s="409"/>
      <c r="C447" s="410"/>
      <c r="D447" s="410"/>
      <c r="E447" s="410"/>
      <c r="F447" s="410"/>
      <c r="G447" s="410"/>
      <c r="H447" s="410"/>
      <c r="I447" s="410"/>
      <c r="J447" s="410"/>
      <c r="K447" s="410"/>
      <c r="L447" s="410"/>
      <c r="M447" s="410"/>
      <c r="N447" s="410"/>
      <c r="O447" s="410"/>
      <c r="P447" s="410"/>
      <c r="Q447" s="410"/>
      <c r="R447" s="410"/>
      <c r="S447" s="410"/>
      <c r="T447" s="410"/>
      <c r="U447" s="410"/>
      <c r="V447" s="410"/>
      <c r="W447" s="353"/>
    </row>
    <row r="448" spans="1:23" s="354" customFormat="1" ht="23.1" customHeight="1">
      <c r="A448" s="409"/>
      <c r="B448" s="409"/>
      <c r="C448" s="410"/>
      <c r="D448" s="410"/>
      <c r="E448" s="410"/>
      <c r="F448" s="410"/>
      <c r="G448" s="410"/>
      <c r="H448" s="410"/>
      <c r="I448" s="410"/>
      <c r="J448" s="410"/>
      <c r="K448" s="410"/>
      <c r="L448" s="410"/>
      <c r="M448" s="410"/>
      <c r="N448" s="410"/>
      <c r="O448" s="410"/>
      <c r="P448" s="410"/>
      <c r="Q448" s="410"/>
      <c r="R448" s="410"/>
      <c r="S448" s="410"/>
      <c r="T448" s="410"/>
      <c r="U448" s="410"/>
      <c r="V448" s="410"/>
      <c r="W448" s="353"/>
    </row>
    <row r="449" spans="1:23" s="354" customFormat="1" ht="23.1" customHeight="1">
      <c r="A449" s="409"/>
      <c r="B449" s="409"/>
      <c r="C449" s="410"/>
      <c r="D449" s="410"/>
      <c r="E449" s="410"/>
      <c r="F449" s="410"/>
      <c r="G449" s="410"/>
      <c r="H449" s="410"/>
      <c r="I449" s="410"/>
      <c r="J449" s="410"/>
      <c r="K449" s="410"/>
      <c r="L449" s="410"/>
      <c r="M449" s="410"/>
      <c r="N449" s="410"/>
      <c r="O449" s="410"/>
      <c r="P449" s="410"/>
      <c r="Q449" s="410"/>
      <c r="R449" s="410"/>
      <c r="S449" s="410"/>
      <c r="T449" s="410"/>
      <c r="U449" s="410"/>
      <c r="V449" s="410"/>
      <c r="W449" s="353"/>
    </row>
    <row r="450" spans="1:23" s="354" customFormat="1" ht="23.1" customHeight="1">
      <c r="A450" s="409"/>
      <c r="B450" s="409"/>
      <c r="C450" s="410"/>
      <c r="D450" s="410"/>
      <c r="E450" s="410"/>
      <c r="F450" s="410"/>
      <c r="G450" s="410"/>
      <c r="H450" s="410"/>
      <c r="I450" s="410"/>
      <c r="J450" s="410"/>
      <c r="K450" s="410"/>
      <c r="L450" s="410"/>
      <c r="M450" s="410"/>
      <c r="N450" s="410"/>
      <c r="O450" s="410"/>
      <c r="P450" s="410"/>
      <c r="Q450" s="410"/>
      <c r="R450" s="410"/>
      <c r="S450" s="410"/>
      <c r="T450" s="410"/>
      <c r="U450" s="410"/>
      <c r="V450" s="410"/>
      <c r="W450" s="353"/>
    </row>
    <row r="451" spans="1:23" s="354" customFormat="1" ht="23.1" customHeight="1">
      <c r="A451" s="409"/>
      <c r="B451" s="409"/>
      <c r="C451" s="410"/>
      <c r="D451" s="410"/>
      <c r="E451" s="410"/>
      <c r="F451" s="410"/>
      <c r="G451" s="410"/>
      <c r="H451" s="410"/>
      <c r="I451" s="410"/>
      <c r="J451" s="410"/>
      <c r="K451" s="410"/>
      <c r="L451" s="410"/>
      <c r="M451" s="410"/>
      <c r="N451" s="410"/>
      <c r="O451" s="410"/>
      <c r="P451" s="410"/>
      <c r="Q451" s="410"/>
      <c r="R451" s="410"/>
      <c r="S451" s="410"/>
      <c r="T451" s="410"/>
      <c r="U451" s="410"/>
      <c r="V451" s="410"/>
      <c r="W451" s="353"/>
    </row>
    <row r="452" spans="1:23" s="354" customFormat="1" ht="23.1" customHeight="1">
      <c r="A452" s="409"/>
      <c r="B452" s="409"/>
      <c r="C452" s="410"/>
      <c r="D452" s="410"/>
      <c r="E452" s="410"/>
      <c r="F452" s="410"/>
      <c r="G452" s="410"/>
      <c r="H452" s="410"/>
      <c r="I452" s="410"/>
      <c r="J452" s="410"/>
      <c r="K452" s="410"/>
      <c r="L452" s="410"/>
      <c r="M452" s="410"/>
      <c r="N452" s="410"/>
      <c r="O452" s="410"/>
      <c r="P452" s="410"/>
      <c r="Q452" s="410"/>
      <c r="R452" s="410"/>
      <c r="S452" s="410"/>
      <c r="T452" s="410"/>
      <c r="U452" s="410"/>
      <c r="V452" s="410"/>
      <c r="W452" s="353"/>
    </row>
    <row r="453" spans="1:23" s="354" customFormat="1" ht="23.1" customHeight="1">
      <c r="A453" s="409"/>
      <c r="B453" s="409"/>
      <c r="C453" s="410"/>
      <c r="D453" s="410"/>
      <c r="E453" s="410"/>
      <c r="F453" s="410"/>
      <c r="G453" s="410"/>
      <c r="H453" s="410"/>
      <c r="I453" s="410"/>
      <c r="J453" s="410"/>
      <c r="K453" s="410"/>
      <c r="L453" s="410"/>
      <c r="M453" s="410"/>
      <c r="N453" s="410"/>
      <c r="O453" s="410"/>
      <c r="P453" s="410"/>
      <c r="Q453" s="410"/>
      <c r="R453" s="410"/>
      <c r="S453" s="410"/>
      <c r="T453" s="410"/>
      <c r="U453" s="410"/>
      <c r="V453" s="410"/>
      <c r="W453" s="353"/>
    </row>
    <row r="454" spans="1:23" s="354" customFormat="1" ht="23.1" customHeight="1">
      <c r="A454" s="409"/>
      <c r="B454" s="409"/>
      <c r="C454" s="410"/>
      <c r="D454" s="410"/>
      <c r="E454" s="410"/>
      <c r="F454" s="410"/>
      <c r="G454" s="410"/>
      <c r="H454" s="410"/>
      <c r="I454" s="410"/>
      <c r="J454" s="410"/>
      <c r="K454" s="410"/>
      <c r="L454" s="410"/>
      <c r="M454" s="410"/>
      <c r="N454" s="410"/>
      <c r="O454" s="410"/>
      <c r="P454" s="410"/>
      <c r="Q454" s="410"/>
      <c r="R454" s="410"/>
      <c r="S454" s="410"/>
      <c r="T454" s="410"/>
      <c r="U454" s="410"/>
      <c r="V454" s="410"/>
      <c r="W454" s="353"/>
    </row>
    <row r="455" spans="1:23" s="354" customFormat="1" ht="23.1" customHeight="1">
      <c r="A455" s="409"/>
      <c r="B455" s="409"/>
      <c r="C455" s="410"/>
      <c r="D455" s="410"/>
      <c r="E455" s="410"/>
      <c r="F455" s="410"/>
      <c r="G455" s="410"/>
      <c r="H455" s="410"/>
      <c r="I455" s="410"/>
      <c r="J455" s="410"/>
      <c r="K455" s="410"/>
      <c r="L455" s="410"/>
      <c r="M455" s="410"/>
      <c r="N455" s="410"/>
      <c r="O455" s="410"/>
      <c r="P455" s="410"/>
      <c r="Q455" s="410"/>
      <c r="R455" s="410"/>
      <c r="S455" s="410"/>
      <c r="T455" s="410"/>
      <c r="U455" s="410"/>
      <c r="V455" s="410"/>
      <c r="W455" s="353"/>
    </row>
    <row r="456" spans="1:23" s="354" customFormat="1" ht="23.1" customHeight="1">
      <c r="A456" s="409"/>
      <c r="B456" s="409"/>
      <c r="C456" s="410"/>
      <c r="D456" s="410"/>
      <c r="E456" s="410"/>
      <c r="F456" s="410"/>
      <c r="G456" s="410"/>
      <c r="H456" s="410"/>
      <c r="I456" s="410"/>
      <c r="J456" s="410"/>
      <c r="K456" s="410"/>
      <c r="L456" s="410"/>
      <c r="M456" s="410"/>
      <c r="N456" s="410"/>
      <c r="O456" s="410"/>
      <c r="P456" s="410"/>
      <c r="Q456" s="410"/>
      <c r="R456" s="410"/>
      <c r="S456" s="410"/>
      <c r="T456" s="410"/>
      <c r="U456" s="410"/>
      <c r="V456" s="410"/>
      <c r="W456" s="353"/>
    </row>
    <row r="457" spans="1:23" s="354" customFormat="1" ht="23.1" customHeight="1">
      <c r="A457" s="409"/>
      <c r="B457" s="409"/>
      <c r="C457" s="410"/>
      <c r="D457" s="410"/>
      <c r="E457" s="410"/>
      <c r="F457" s="410"/>
      <c r="G457" s="410"/>
      <c r="H457" s="410"/>
      <c r="I457" s="410"/>
      <c r="J457" s="410"/>
      <c r="K457" s="410"/>
      <c r="L457" s="410"/>
      <c r="M457" s="410"/>
      <c r="N457" s="410"/>
      <c r="O457" s="410"/>
      <c r="P457" s="410"/>
      <c r="Q457" s="410"/>
      <c r="R457" s="410"/>
      <c r="S457" s="410"/>
      <c r="T457" s="410"/>
      <c r="U457" s="410"/>
      <c r="V457" s="410"/>
      <c r="W457" s="353"/>
    </row>
    <row r="458" spans="1:23" s="354" customFormat="1" ht="23.1" customHeight="1">
      <c r="A458" s="409"/>
      <c r="B458" s="409"/>
      <c r="C458" s="410"/>
      <c r="D458" s="410"/>
      <c r="E458" s="410"/>
      <c r="F458" s="410"/>
      <c r="G458" s="410"/>
      <c r="H458" s="410"/>
      <c r="I458" s="410"/>
      <c r="J458" s="410"/>
      <c r="K458" s="410"/>
      <c r="L458" s="410"/>
      <c r="M458" s="410"/>
      <c r="N458" s="410"/>
      <c r="O458" s="410"/>
      <c r="P458" s="410"/>
      <c r="Q458" s="410"/>
      <c r="R458" s="410"/>
      <c r="S458" s="410"/>
      <c r="T458" s="410"/>
      <c r="U458" s="410"/>
      <c r="V458" s="410"/>
      <c r="W458" s="353"/>
    </row>
    <row r="459" spans="1:23" s="354" customFormat="1" ht="23.1" customHeight="1">
      <c r="A459" s="409"/>
      <c r="B459" s="409"/>
      <c r="C459" s="410"/>
      <c r="D459" s="410"/>
      <c r="E459" s="410"/>
      <c r="F459" s="410"/>
      <c r="G459" s="410"/>
      <c r="H459" s="410"/>
      <c r="I459" s="410"/>
      <c r="J459" s="410"/>
      <c r="K459" s="410"/>
      <c r="L459" s="410"/>
      <c r="M459" s="410"/>
      <c r="N459" s="410"/>
      <c r="O459" s="410"/>
      <c r="P459" s="410"/>
      <c r="Q459" s="410"/>
      <c r="R459" s="410"/>
      <c r="S459" s="410"/>
      <c r="T459" s="410"/>
      <c r="U459" s="410"/>
      <c r="V459" s="410"/>
      <c r="W459" s="353"/>
    </row>
    <row r="460" spans="1:23" s="354" customFormat="1" ht="23.1" customHeight="1">
      <c r="A460" s="409"/>
      <c r="B460" s="409"/>
      <c r="C460" s="410"/>
      <c r="D460" s="410"/>
      <c r="E460" s="410"/>
      <c r="F460" s="410"/>
      <c r="G460" s="410"/>
      <c r="H460" s="410"/>
      <c r="I460" s="410"/>
      <c r="J460" s="410"/>
      <c r="K460" s="410"/>
      <c r="L460" s="410"/>
      <c r="M460" s="410"/>
      <c r="N460" s="410"/>
      <c r="O460" s="410"/>
      <c r="P460" s="410"/>
      <c r="Q460" s="410"/>
      <c r="R460" s="410"/>
      <c r="S460" s="410"/>
      <c r="T460" s="410"/>
      <c r="U460" s="410"/>
      <c r="V460" s="410"/>
      <c r="W460" s="353"/>
    </row>
    <row r="461" spans="1:23" s="354" customFormat="1" ht="23.1" customHeight="1">
      <c r="A461" s="409"/>
      <c r="B461" s="409"/>
      <c r="C461" s="410"/>
      <c r="D461" s="410"/>
      <c r="E461" s="410"/>
      <c r="F461" s="410"/>
      <c r="G461" s="410"/>
      <c r="H461" s="410"/>
      <c r="I461" s="410"/>
      <c r="J461" s="410"/>
      <c r="K461" s="410"/>
      <c r="L461" s="410"/>
      <c r="M461" s="410"/>
      <c r="N461" s="410"/>
      <c r="O461" s="410"/>
      <c r="P461" s="410"/>
      <c r="Q461" s="410"/>
      <c r="R461" s="410"/>
      <c r="S461" s="410"/>
      <c r="T461" s="410"/>
      <c r="U461" s="410"/>
      <c r="V461" s="410"/>
      <c r="W461" s="353"/>
    </row>
    <row r="462" spans="1:23" s="354" customFormat="1" ht="23.1" customHeight="1">
      <c r="A462" s="409"/>
      <c r="B462" s="409"/>
      <c r="C462" s="410"/>
      <c r="D462" s="410"/>
      <c r="E462" s="410"/>
      <c r="F462" s="410"/>
      <c r="G462" s="410"/>
      <c r="H462" s="410"/>
      <c r="I462" s="410"/>
      <c r="J462" s="410"/>
      <c r="K462" s="410"/>
      <c r="L462" s="410"/>
      <c r="M462" s="410"/>
      <c r="N462" s="410"/>
      <c r="O462" s="410"/>
      <c r="P462" s="410"/>
      <c r="Q462" s="410"/>
      <c r="R462" s="410"/>
      <c r="S462" s="410"/>
      <c r="T462" s="410"/>
      <c r="U462" s="410"/>
      <c r="V462" s="410"/>
      <c r="W462" s="353"/>
    </row>
    <row r="463" spans="1:23" s="354" customFormat="1" ht="23.1" customHeight="1">
      <c r="A463" s="409"/>
      <c r="B463" s="409"/>
      <c r="C463" s="410"/>
      <c r="D463" s="410"/>
      <c r="E463" s="410"/>
      <c r="F463" s="410"/>
      <c r="G463" s="410"/>
      <c r="H463" s="410"/>
      <c r="I463" s="410"/>
      <c r="J463" s="410"/>
      <c r="K463" s="410"/>
      <c r="L463" s="410"/>
      <c r="M463" s="410"/>
      <c r="N463" s="410"/>
      <c r="O463" s="410"/>
      <c r="P463" s="410"/>
      <c r="Q463" s="410"/>
      <c r="R463" s="410"/>
      <c r="S463" s="410"/>
      <c r="T463" s="410"/>
      <c r="U463" s="410"/>
      <c r="V463" s="410"/>
      <c r="W463" s="353"/>
    </row>
    <row r="464" spans="1:23" s="354" customFormat="1" ht="23.1" customHeight="1">
      <c r="A464" s="409"/>
      <c r="B464" s="409"/>
      <c r="C464" s="410"/>
      <c r="D464" s="410"/>
      <c r="E464" s="410"/>
      <c r="F464" s="410"/>
      <c r="G464" s="410"/>
      <c r="H464" s="410"/>
      <c r="I464" s="410"/>
      <c r="J464" s="410"/>
      <c r="K464" s="410"/>
      <c r="L464" s="410"/>
      <c r="M464" s="410"/>
      <c r="N464" s="410"/>
      <c r="O464" s="410"/>
      <c r="P464" s="410"/>
      <c r="Q464" s="410"/>
      <c r="R464" s="410"/>
      <c r="S464" s="410"/>
      <c r="T464" s="410"/>
      <c r="U464" s="410"/>
      <c r="V464" s="410"/>
      <c r="W464" s="353"/>
    </row>
    <row r="465" spans="1:23" s="354" customFormat="1" ht="23.1" customHeight="1">
      <c r="A465" s="409"/>
      <c r="B465" s="409"/>
      <c r="C465" s="410"/>
      <c r="D465" s="410"/>
      <c r="E465" s="410"/>
      <c r="F465" s="410"/>
      <c r="G465" s="410"/>
      <c r="H465" s="410"/>
      <c r="I465" s="410"/>
      <c r="J465" s="410"/>
      <c r="K465" s="410"/>
      <c r="L465" s="410"/>
      <c r="M465" s="410"/>
      <c r="N465" s="410"/>
      <c r="O465" s="410"/>
      <c r="P465" s="410"/>
      <c r="Q465" s="410"/>
      <c r="R465" s="410"/>
      <c r="S465" s="410"/>
      <c r="T465" s="410"/>
      <c r="U465" s="410"/>
      <c r="V465" s="410"/>
      <c r="W465" s="353"/>
    </row>
    <row r="466" spans="1:23" s="354" customFormat="1" ht="23.1" customHeight="1">
      <c r="A466" s="409"/>
      <c r="B466" s="409"/>
      <c r="C466" s="410"/>
      <c r="D466" s="410"/>
      <c r="E466" s="410"/>
      <c r="F466" s="410"/>
      <c r="G466" s="410"/>
      <c r="H466" s="410"/>
      <c r="I466" s="410"/>
      <c r="J466" s="410"/>
      <c r="K466" s="410"/>
      <c r="L466" s="410"/>
      <c r="M466" s="410"/>
      <c r="N466" s="410"/>
      <c r="O466" s="410"/>
      <c r="P466" s="410"/>
      <c r="Q466" s="410"/>
      <c r="R466" s="410"/>
      <c r="S466" s="410"/>
      <c r="T466" s="410"/>
      <c r="U466" s="410"/>
      <c r="V466" s="410"/>
      <c r="W466" s="353"/>
    </row>
    <row r="467" spans="1:23" s="354" customFormat="1" ht="23.1" customHeight="1">
      <c r="A467" s="409"/>
      <c r="B467" s="409"/>
      <c r="C467" s="410"/>
      <c r="D467" s="410"/>
      <c r="E467" s="410"/>
      <c r="F467" s="410"/>
      <c r="G467" s="410"/>
      <c r="H467" s="410"/>
      <c r="I467" s="410"/>
      <c r="J467" s="410"/>
      <c r="K467" s="410"/>
      <c r="L467" s="410"/>
      <c r="M467" s="410"/>
      <c r="N467" s="410"/>
      <c r="O467" s="410"/>
      <c r="P467" s="410"/>
      <c r="Q467" s="410"/>
      <c r="R467" s="410"/>
      <c r="S467" s="410"/>
      <c r="T467" s="410"/>
      <c r="U467" s="410"/>
      <c r="V467" s="410"/>
      <c r="W467" s="353"/>
    </row>
    <row r="468" spans="1:23" s="354" customFormat="1" ht="23.1" customHeight="1">
      <c r="A468" s="409"/>
      <c r="B468" s="409"/>
      <c r="C468" s="410"/>
      <c r="D468" s="410"/>
      <c r="E468" s="410"/>
      <c r="F468" s="410"/>
      <c r="G468" s="410"/>
      <c r="H468" s="410"/>
      <c r="I468" s="410"/>
      <c r="J468" s="410"/>
      <c r="K468" s="410"/>
      <c r="L468" s="410"/>
      <c r="M468" s="410"/>
      <c r="N468" s="410"/>
      <c r="O468" s="410"/>
      <c r="P468" s="410"/>
      <c r="Q468" s="410"/>
      <c r="R468" s="410"/>
      <c r="S468" s="410"/>
      <c r="T468" s="410"/>
      <c r="U468" s="410"/>
      <c r="V468" s="410"/>
      <c r="W468" s="353"/>
    </row>
    <row r="469" spans="1:23" s="354" customFormat="1" ht="23.1" customHeight="1">
      <c r="A469" s="409"/>
      <c r="B469" s="409"/>
      <c r="C469" s="410"/>
      <c r="D469" s="410"/>
      <c r="E469" s="410"/>
      <c r="F469" s="410"/>
      <c r="G469" s="410"/>
      <c r="H469" s="410"/>
      <c r="I469" s="410"/>
      <c r="J469" s="410"/>
      <c r="K469" s="410"/>
      <c r="L469" s="410"/>
      <c r="M469" s="410"/>
      <c r="N469" s="410"/>
      <c r="O469" s="410"/>
      <c r="P469" s="410"/>
      <c r="Q469" s="410"/>
      <c r="R469" s="410"/>
      <c r="S469" s="410"/>
      <c r="T469" s="410"/>
      <c r="U469" s="410"/>
      <c r="V469" s="410"/>
      <c r="W469" s="353"/>
    </row>
    <row r="470" spans="1:23" s="354" customFormat="1" ht="23.1" customHeight="1">
      <c r="A470" s="409"/>
      <c r="B470" s="409"/>
      <c r="C470" s="410"/>
      <c r="D470" s="410"/>
      <c r="E470" s="410"/>
      <c r="F470" s="410"/>
      <c r="G470" s="410"/>
      <c r="H470" s="410"/>
      <c r="I470" s="410"/>
      <c r="J470" s="410"/>
      <c r="K470" s="410"/>
      <c r="L470" s="410"/>
      <c r="M470" s="410"/>
      <c r="N470" s="410"/>
      <c r="O470" s="410"/>
      <c r="P470" s="410"/>
      <c r="Q470" s="410"/>
      <c r="R470" s="410"/>
      <c r="S470" s="410"/>
      <c r="T470" s="410"/>
      <c r="U470" s="410"/>
      <c r="V470" s="410"/>
      <c r="W470" s="353"/>
    </row>
    <row r="471" spans="1:23" s="354" customFormat="1" ht="23.1" customHeight="1">
      <c r="A471" s="409"/>
      <c r="B471" s="409"/>
      <c r="C471" s="410"/>
      <c r="D471" s="410"/>
      <c r="E471" s="410"/>
      <c r="F471" s="410"/>
      <c r="G471" s="410"/>
      <c r="H471" s="410"/>
      <c r="I471" s="410"/>
      <c r="J471" s="410"/>
      <c r="K471" s="410"/>
      <c r="L471" s="410"/>
      <c r="M471" s="410"/>
      <c r="N471" s="410"/>
      <c r="O471" s="410"/>
      <c r="P471" s="410"/>
      <c r="Q471" s="410"/>
      <c r="R471" s="410"/>
      <c r="S471" s="410"/>
      <c r="T471" s="410"/>
      <c r="U471" s="410"/>
      <c r="V471" s="410"/>
      <c r="W471" s="353"/>
    </row>
    <row r="472" spans="1:23" s="354" customFormat="1" ht="23.1" customHeight="1">
      <c r="A472" s="409"/>
      <c r="B472" s="409"/>
      <c r="C472" s="410"/>
      <c r="D472" s="410"/>
      <c r="E472" s="410"/>
      <c r="F472" s="410"/>
      <c r="G472" s="410"/>
      <c r="H472" s="410"/>
      <c r="I472" s="410"/>
      <c r="J472" s="410"/>
      <c r="K472" s="410"/>
      <c r="L472" s="410"/>
      <c r="M472" s="410"/>
      <c r="N472" s="410"/>
      <c r="O472" s="410"/>
      <c r="P472" s="410"/>
      <c r="Q472" s="410"/>
      <c r="R472" s="410"/>
      <c r="S472" s="410"/>
      <c r="T472" s="410"/>
      <c r="U472" s="410"/>
      <c r="V472" s="410"/>
      <c r="W472" s="353"/>
    </row>
    <row r="473" spans="1:23" s="352" customFormat="1" ht="20.100000000000001" customHeight="1">
      <c r="A473" s="409"/>
      <c r="B473" s="409"/>
      <c r="C473" s="410"/>
      <c r="D473" s="410"/>
      <c r="E473" s="410"/>
      <c r="F473" s="410"/>
      <c r="G473" s="410"/>
      <c r="H473" s="410"/>
      <c r="I473" s="410"/>
      <c r="J473" s="410"/>
      <c r="K473" s="410"/>
      <c r="L473" s="410"/>
      <c r="M473" s="410"/>
      <c r="N473" s="410"/>
      <c r="O473" s="410"/>
      <c r="P473" s="410"/>
      <c r="Q473" s="410"/>
      <c r="R473" s="410"/>
      <c r="S473" s="410"/>
      <c r="T473" s="410"/>
      <c r="U473" s="410"/>
      <c r="V473" s="410"/>
    </row>
    <row r="474" spans="1:23" s="352" customFormat="1" ht="9.9499999999999993" customHeight="1">
      <c r="A474" s="409"/>
      <c r="B474" s="409"/>
      <c r="C474" s="410"/>
      <c r="D474" s="410"/>
      <c r="E474" s="410"/>
      <c r="F474" s="410"/>
      <c r="G474" s="410"/>
      <c r="H474" s="410"/>
      <c r="I474" s="410"/>
      <c r="J474" s="410"/>
      <c r="K474" s="410"/>
      <c r="L474" s="410"/>
      <c r="M474" s="410"/>
      <c r="N474" s="410"/>
      <c r="O474" s="410"/>
      <c r="P474" s="410"/>
      <c r="Q474" s="410"/>
      <c r="R474" s="410"/>
      <c r="S474" s="410"/>
      <c r="T474" s="410"/>
      <c r="U474" s="410"/>
      <c r="V474" s="410"/>
    </row>
    <row r="475" spans="1:23" s="354" customFormat="1" ht="27.95" customHeight="1">
      <c r="A475" s="409"/>
      <c r="B475" s="409"/>
      <c r="C475" s="410"/>
      <c r="D475" s="410"/>
      <c r="E475" s="410"/>
      <c r="F475" s="410"/>
      <c r="G475" s="410"/>
      <c r="H475" s="410"/>
      <c r="I475" s="410"/>
      <c r="J475" s="410"/>
      <c r="K475" s="410"/>
      <c r="L475" s="410"/>
      <c r="M475" s="410"/>
      <c r="N475" s="410"/>
      <c r="O475" s="410"/>
      <c r="P475" s="410"/>
      <c r="Q475" s="410"/>
      <c r="R475" s="410"/>
      <c r="S475" s="410"/>
      <c r="T475" s="410"/>
      <c r="U475" s="410"/>
      <c r="V475" s="410"/>
      <c r="W475" s="353"/>
    </row>
    <row r="476" spans="1:23" s="354" customFormat="1" ht="27.95" customHeight="1">
      <c r="A476" s="409"/>
      <c r="B476" s="409"/>
      <c r="C476" s="410"/>
      <c r="D476" s="410"/>
      <c r="E476" s="410"/>
      <c r="F476" s="410"/>
      <c r="G476" s="410"/>
      <c r="H476" s="410"/>
      <c r="I476" s="410"/>
      <c r="J476" s="410"/>
      <c r="K476" s="410"/>
      <c r="L476" s="410"/>
      <c r="M476" s="410"/>
      <c r="N476" s="410"/>
      <c r="O476" s="410"/>
      <c r="P476" s="410"/>
      <c r="Q476" s="410"/>
      <c r="R476" s="410"/>
      <c r="S476" s="410"/>
      <c r="T476" s="410"/>
      <c r="U476" s="410"/>
      <c r="V476" s="410"/>
      <c r="W476" s="353"/>
    </row>
    <row r="477" spans="1:23" s="354" customFormat="1" ht="23.1" customHeight="1">
      <c r="A477" s="409"/>
      <c r="B477" s="409"/>
      <c r="C477" s="410"/>
      <c r="D477" s="410"/>
      <c r="E477" s="410"/>
      <c r="F477" s="410"/>
      <c r="G477" s="410"/>
      <c r="H477" s="410"/>
      <c r="I477" s="410"/>
      <c r="J477" s="410"/>
      <c r="K477" s="410"/>
      <c r="L477" s="410"/>
      <c r="M477" s="410"/>
      <c r="N477" s="410"/>
      <c r="O477" s="410"/>
      <c r="P477" s="410"/>
      <c r="Q477" s="410"/>
      <c r="R477" s="410"/>
      <c r="S477" s="410"/>
      <c r="T477" s="410"/>
      <c r="U477" s="410"/>
      <c r="V477" s="410"/>
      <c r="W477" s="353"/>
    </row>
    <row r="478" spans="1:23" s="354" customFormat="1" ht="23.1" customHeight="1">
      <c r="A478" s="409"/>
      <c r="B478" s="409"/>
      <c r="C478" s="410"/>
      <c r="D478" s="410"/>
      <c r="E478" s="410"/>
      <c r="F478" s="410"/>
      <c r="G478" s="410"/>
      <c r="H478" s="410"/>
      <c r="I478" s="410"/>
      <c r="J478" s="410"/>
      <c r="K478" s="410"/>
      <c r="L478" s="410"/>
      <c r="M478" s="410"/>
      <c r="N478" s="410"/>
      <c r="O478" s="410"/>
      <c r="P478" s="410"/>
      <c r="Q478" s="410"/>
      <c r="R478" s="410"/>
      <c r="S478" s="410"/>
      <c r="T478" s="410"/>
      <c r="U478" s="410"/>
      <c r="V478" s="410"/>
      <c r="W478" s="353"/>
    </row>
    <row r="479" spans="1:23" s="354" customFormat="1" ht="23.1" customHeight="1">
      <c r="A479" s="409"/>
      <c r="B479" s="409"/>
      <c r="C479" s="410"/>
      <c r="D479" s="410"/>
      <c r="E479" s="410"/>
      <c r="F479" s="410"/>
      <c r="G479" s="410"/>
      <c r="H479" s="410"/>
      <c r="I479" s="410"/>
      <c r="J479" s="410"/>
      <c r="K479" s="410"/>
      <c r="L479" s="410"/>
      <c r="M479" s="410"/>
      <c r="N479" s="410"/>
      <c r="O479" s="410"/>
      <c r="P479" s="410"/>
      <c r="Q479" s="410"/>
      <c r="R479" s="410"/>
      <c r="S479" s="410"/>
      <c r="T479" s="410"/>
      <c r="U479" s="410"/>
      <c r="V479" s="410"/>
      <c r="W479" s="353"/>
    </row>
    <row r="480" spans="1:23" s="354" customFormat="1" ht="23.1" customHeight="1">
      <c r="A480" s="409"/>
      <c r="B480" s="409"/>
      <c r="C480" s="410"/>
      <c r="D480" s="410"/>
      <c r="E480" s="410"/>
      <c r="F480" s="410"/>
      <c r="G480" s="410"/>
      <c r="H480" s="410"/>
      <c r="I480" s="410"/>
      <c r="J480" s="410"/>
      <c r="K480" s="410"/>
      <c r="L480" s="410"/>
      <c r="M480" s="410"/>
      <c r="N480" s="410"/>
      <c r="O480" s="410"/>
      <c r="P480" s="410"/>
      <c r="Q480" s="410"/>
      <c r="R480" s="410"/>
      <c r="S480" s="410"/>
      <c r="T480" s="410"/>
      <c r="U480" s="410"/>
      <c r="V480" s="410"/>
      <c r="W480" s="353"/>
    </row>
    <row r="481" spans="1:23" s="354" customFormat="1" ht="23.1" customHeight="1">
      <c r="A481" s="409"/>
      <c r="B481" s="409"/>
      <c r="C481" s="410"/>
      <c r="D481" s="410"/>
      <c r="E481" s="410"/>
      <c r="F481" s="410"/>
      <c r="G481" s="410"/>
      <c r="H481" s="410"/>
      <c r="I481" s="410"/>
      <c r="J481" s="410"/>
      <c r="K481" s="410"/>
      <c r="L481" s="410"/>
      <c r="M481" s="410"/>
      <c r="N481" s="410"/>
      <c r="O481" s="410"/>
      <c r="P481" s="410"/>
      <c r="Q481" s="410"/>
      <c r="R481" s="410"/>
      <c r="S481" s="410"/>
      <c r="T481" s="410"/>
      <c r="U481" s="410"/>
      <c r="V481" s="410"/>
      <c r="W481" s="353"/>
    </row>
    <row r="482" spans="1:23" s="354" customFormat="1" ht="23.1" customHeight="1">
      <c r="A482" s="409"/>
      <c r="B482" s="409"/>
      <c r="C482" s="410"/>
      <c r="D482" s="410"/>
      <c r="E482" s="410"/>
      <c r="F482" s="410"/>
      <c r="G482" s="410"/>
      <c r="H482" s="410"/>
      <c r="I482" s="410"/>
      <c r="J482" s="410"/>
      <c r="K482" s="410"/>
      <c r="L482" s="410"/>
      <c r="M482" s="410"/>
      <c r="N482" s="410"/>
      <c r="O482" s="410"/>
      <c r="P482" s="410"/>
      <c r="Q482" s="410"/>
      <c r="R482" s="410"/>
      <c r="S482" s="410"/>
      <c r="T482" s="410"/>
      <c r="U482" s="410"/>
      <c r="V482" s="410"/>
      <c r="W482" s="353"/>
    </row>
    <row r="483" spans="1:23" s="354" customFormat="1" ht="23.1" customHeight="1">
      <c r="A483" s="409"/>
      <c r="B483" s="409"/>
      <c r="C483" s="410"/>
      <c r="D483" s="410"/>
      <c r="E483" s="410"/>
      <c r="F483" s="410"/>
      <c r="G483" s="410"/>
      <c r="H483" s="410"/>
      <c r="I483" s="410"/>
      <c r="J483" s="410"/>
      <c r="K483" s="410"/>
      <c r="L483" s="410"/>
      <c r="M483" s="410"/>
      <c r="N483" s="410"/>
      <c r="O483" s="410"/>
      <c r="P483" s="410"/>
      <c r="Q483" s="410"/>
      <c r="R483" s="410"/>
      <c r="S483" s="410"/>
      <c r="T483" s="410"/>
      <c r="U483" s="410"/>
      <c r="V483" s="410"/>
      <c r="W483" s="353"/>
    </row>
    <row r="484" spans="1:23" s="354" customFormat="1" ht="23.1" customHeight="1">
      <c r="A484" s="409"/>
      <c r="B484" s="409"/>
      <c r="C484" s="410"/>
      <c r="D484" s="410"/>
      <c r="E484" s="410"/>
      <c r="F484" s="410"/>
      <c r="G484" s="410"/>
      <c r="H484" s="410"/>
      <c r="I484" s="410"/>
      <c r="J484" s="410"/>
      <c r="K484" s="410"/>
      <c r="L484" s="410"/>
      <c r="M484" s="410"/>
      <c r="N484" s="410"/>
      <c r="O484" s="410"/>
      <c r="P484" s="410"/>
      <c r="Q484" s="410"/>
      <c r="R484" s="410"/>
      <c r="S484" s="410"/>
      <c r="T484" s="410"/>
      <c r="U484" s="410"/>
      <c r="V484" s="410"/>
      <c r="W484" s="353"/>
    </row>
    <row r="485" spans="1:23" s="354" customFormat="1" ht="23.1" customHeight="1">
      <c r="A485" s="409"/>
      <c r="B485" s="409"/>
      <c r="C485" s="410"/>
      <c r="D485" s="410"/>
      <c r="E485" s="410"/>
      <c r="F485" s="410"/>
      <c r="G485" s="410"/>
      <c r="H485" s="410"/>
      <c r="I485" s="410"/>
      <c r="J485" s="410"/>
      <c r="K485" s="410"/>
      <c r="L485" s="410"/>
      <c r="M485" s="410"/>
      <c r="N485" s="410"/>
      <c r="O485" s="410"/>
      <c r="P485" s="410"/>
      <c r="Q485" s="410"/>
      <c r="R485" s="410"/>
      <c r="S485" s="410"/>
      <c r="T485" s="410"/>
      <c r="U485" s="410"/>
      <c r="V485" s="410"/>
      <c r="W485" s="353"/>
    </row>
    <row r="486" spans="1:23" s="354" customFormat="1" ht="23.1" customHeight="1">
      <c r="A486" s="409"/>
      <c r="B486" s="409"/>
      <c r="C486" s="410"/>
      <c r="D486" s="410"/>
      <c r="E486" s="410"/>
      <c r="F486" s="410"/>
      <c r="G486" s="410"/>
      <c r="H486" s="410"/>
      <c r="I486" s="410"/>
      <c r="J486" s="410"/>
      <c r="K486" s="410"/>
      <c r="L486" s="410"/>
      <c r="M486" s="410"/>
      <c r="N486" s="410"/>
      <c r="O486" s="410"/>
      <c r="P486" s="410"/>
      <c r="Q486" s="410"/>
      <c r="R486" s="410"/>
      <c r="S486" s="410"/>
      <c r="T486" s="410"/>
      <c r="U486" s="410"/>
      <c r="V486" s="410"/>
      <c r="W486" s="353"/>
    </row>
    <row r="487" spans="1:23" s="354" customFormat="1" ht="23.1" customHeight="1">
      <c r="A487" s="409"/>
      <c r="B487" s="409"/>
      <c r="C487" s="410"/>
      <c r="D487" s="410"/>
      <c r="E487" s="410"/>
      <c r="F487" s="410"/>
      <c r="G487" s="410"/>
      <c r="H487" s="410"/>
      <c r="I487" s="410"/>
      <c r="J487" s="410"/>
      <c r="K487" s="410"/>
      <c r="L487" s="410"/>
      <c r="M487" s="410"/>
      <c r="N487" s="410"/>
      <c r="O487" s="410"/>
      <c r="P487" s="410"/>
      <c r="Q487" s="410"/>
      <c r="R487" s="410"/>
      <c r="S487" s="410"/>
      <c r="T487" s="410"/>
      <c r="U487" s="410"/>
      <c r="V487" s="410"/>
      <c r="W487" s="353"/>
    </row>
    <row r="488" spans="1:23" s="354" customFormat="1" ht="23.1" customHeight="1">
      <c r="A488" s="409"/>
      <c r="B488" s="409"/>
      <c r="C488" s="410"/>
      <c r="D488" s="410"/>
      <c r="E488" s="410"/>
      <c r="F488" s="410"/>
      <c r="G488" s="410"/>
      <c r="H488" s="410"/>
      <c r="I488" s="410"/>
      <c r="J488" s="410"/>
      <c r="K488" s="410"/>
      <c r="L488" s="410"/>
      <c r="M488" s="410"/>
      <c r="N488" s="410"/>
      <c r="O488" s="410"/>
      <c r="P488" s="410"/>
      <c r="Q488" s="410"/>
      <c r="R488" s="410"/>
      <c r="S488" s="410"/>
      <c r="T488" s="410"/>
      <c r="U488" s="410"/>
      <c r="V488" s="410"/>
      <c r="W488" s="353"/>
    </row>
    <row r="489" spans="1:23" s="354" customFormat="1" ht="23.1" customHeight="1">
      <c r="A489" s="409"/>
      <c r="B489" s="409"/>
      <c r="C489" s="410"/>
      <c r="D489" s="410"/>
      <c r="E489" s="410"/>
      <c r="F489" s="410"/>
      <c r="G489" s="410"/>
      <c r="H489" s="410"/>
      <c r="I489" s="410"/>
      <c r="J489" s="410"/>
      <c r="K489" s="410"/>
      <c r="L489" s="410"/>
      <c r="M489" s="410"/>
      <c r="N489" s="410"/>
      <c r="O489" s="410"/>
      <c r="P489" s="410"/>
      <c r="Q489" s="410"/>
      <c r="R489" s="410"/>
      <c r="S489" s="410"/>
      <c r="T489" s="410"/>
      <c r="U489" s="410"/>
      <c r="V489" s="410"/>
      <c r="W489" s="353"/>
    </row>
    <row r="490" spans="1:23" s="354" customFormat="1" ht="23.1" customHeight="1">
      <c r="A490" s="409"/>
      <c r="B490" s="409"/>
      <c r="C490" s="410"/>
      <c r="D490" s="410"/>
      <c r="E490" s="410"/>
      <c r="F490" s="410"/>
      <c r="G490" s="410"/>
      <c r="H490" s="410"/>
      <c r="I490" s="410"/>
      <c r="J490" s="410"/>
      <c r="K490" s="410"/>
      <c r="L490" s="410"/>
      <c r="M490" s="410"/>
      <c r="N490" s="410"/>
      <c r="O490" s="410"/>
      <c r="P490" s="410"/>
      <c r="Q490" s="410"/>
      <c r="R490" s="410"/>
      <c r="S490" s="410"/>
      <c r="T490" s="410"/>
      <c r="U490" s="410"/>
      <c r="V490" s="410"/>
      <c r="W490" s="353"/>
    </row>
    <row r="491" spans="1:23" s="354" customFormat="1" ht="23.1" customHeight="1">
      <c r="A491" s="409"/>
      <c r="B491" s="409"/>
      <c r="C491" s="410"/>
      <c r="D491" s="410"/>
      <c r="E491" s="410"/>
      <c r="F491" s="410"/>
      <c r="G491" s="410"/>
      <c r="H491" s="410"/>
      <c r="I491" s="410"/>
      <c r="J491" s="410"/>
      <c r="K491" s="410"/>
      <c r="L491" s="410"/>
      <c r="M491" s="410"/>
      <c r="N491" s="410"/>
      <c r="O491" s="410"/>
      <c r="P491" s="410"/>
      <c r="Q491" s="410"/>
      <c r="R491" s="410"/>
      <c r="S491" s="410"/>
      <c r="T491" s="410"/>
      <c r="U491" s="410"/>
      <c r="V491" s="410"/>
      <c r="W491" s="353"/>
    </row>
    <row r="492" spans="1:23" s="354" customFormat="1" ht="23.1" customHeight="1">
      <c r="A492" s="409"/>
      <c r="B492" s="409"/>
      <c r="C492" s="410"/>
      <c r="D492" s="410"/>
      <c r="E492" s="410"/>
      <c r="F492" s="410"/>
      <c r="G492" s="410"/>
      <c r="H492" s="410"/>
      <c r="I492" s="410"/>
      <c r="J492" s="410"/>
      <c r="K492" s="410"/>
      <c r="L492" s="410"/>
      <c r="M492" s="410"/>
      <c r="N492" s="410"/>
      <c r="O492" s="410"/>
      <c r="P492" s="410"/>
      <c r="Q492" s="410"/>
      <c r="R492" s="410"/>
      <c r="S492" s="410"/>
      <c r="T492" s="410"/>
      <c r="U492" s="410"/>
      <c r="V492" s="410"/>
      <c r="W492" s="353"/>
    </row>
    <row r="493" spans="1:23" s="354" customFormat="1" ht="23.1" customHeight="1">
      <c r="A493" s="409"/>
      <c r="B493" s="409"/>
      <c r="C493" s="410"/>
      <c r="D493" s="410"/>
      <c r="E493" s="410"/>
      <c r="F493" s="410"/>
      <c r="G493" s="410"/>
      <c r="H493" s="410"/>
      <c r="I493" s="410"/>
      <c r="J493" s="410"/>
      <c r="K493" s="410"/>
      <c r="L493" s="410"/>
      <c r="M493" s="410"/>
      <c r="N493" s="410"/>
      <c r="O493" s="410"/>
      <c r="P493" s="410"/>
      <c r="Q493" s="410"/>
      <c r="R493" s="410"/>
      <c r="S493" s="410"/>
      <c r="T493" s="410"/>
      <c r="U493" s="410"/>
      <c r="V493" s="410"/>
      <c r="W493" s="353"/>
    </row>
    <row r="494" spans="1:23" s="354" customFormat="1" ht="23.1" customHeight="1">
      <c r="A494" s="409"/>
      <c r="B494" s="409"/>
      <c r="C494" s="410"/>
      <c r="D494" s="410"/>
      <c r="E494" s="410"/>
      <c r="F494" s="410"/>
      <c r="G494" s="410"/>
      <c r="H494" s="410"/>
      <c r="I494" s="410"/>
      <c r="J494" s="410"/>
      <c r="K494" s="410"/>
      <c r="L494" s="410"/>
      <c r="M494" s="410"/>
      <c r="N494" s="410"/>
      <c r="O494" s="410"/>
      <c r="P494" s="410"/>
      <c r="Q494" s="410"/>
      <c r="R494" s="410"/>
      <c r="S494" s="410"/>
      <c r="T494" s="410"/>
      <c r="U494" s="410"/>
      <c r="V494" s="410"/>
      <c r="W494" s="353"/>
    </row>
    <row r="495" spans="1:23" s="354" customFormat="1" ht="23.1" customHeight="1">
      <c r="A495" s="409"/>
      <c r="B495" s="409"/>
      <c r="C495" s="410"/>
      <c r="D495" s="410"/>
      <c r="E495" s="410"/>
      <c r="F495" s="410"/>
      <c r="G495" s="410"/>
      <c r="H495" s="410"/>
      <c r="I495" s="410"/>
      <c r="J495" s="410"/>
      <c r="K495" s="410"/>
      <c r="L495" s="410"/>
      <c r="M495" s="410"/>
      <c r="N495" s="410"/>
      <c r="O495" s="410"/>
      <c r="P495" s="410"/>
      <c r="Q495" s="410"/>
      <c r="R495" s="410"/>
      <c r="S495" s="410"/>
      <c r="T495" s="410"/>
      <c r="U495" s="410"/>
      <c r="V495" s="410"/>
      <c r="W495" s="353"/>
    </row>
    <row r="496" spans="1:23" s="354" customFormat="1" ht="23.1" customHeight="1">
      <c r="A496" s="409"/>
      <c r="B496" s="409"/>
      <c r="C496" s="410"/>
      <c r="D496" s="410"/>
      <c r="E496" s="410"/>
      <c r="F496" s="410"/>
      <c r="G496" s="410"/>
      <c r="H496" s="410"/>
      <c r="I496" s="410"/>
      <c r="J496" s="410"/>
      <c r="K496" s="410"/>
      <c r="L496" s="410"/>
      <c r="M496" s="410"/>
      <c r="N496" s="410"/>
      <c r="O496" s="410"/>
      <c r="P496" s="410"/>
      <c r="Q496" s="410"/>
      <c r="R496" s="410"/>
      <c r="S496" s="410"/>
      <c r="T496" s="410"/>
      <c r="U496" s="410"/>
      <c r="V496" s="410"/>
      <c r="W496" s="353"/>
    </row>
    <row r="497" spans="1:23" s="354" customFormat="1" ht="23.1" customHeight="1">
      <c r="A497" s="409"/>
      <c r="B497" s="409"/>
      <c r="C497" s="410"/>
      <c r="D497" s="410"/>
      <c r="E497" s="410"/>
      <c r="F497" s="410"/>
      <c r="G497" s="410"/>
      <c r="H497" s="410"/>
      <c r="I497" s="410"/>
      <c r="J497" s="410"/>
      <c r="K497" s="410"/>
      <c r="L497" s="410"/>
      <c r="M497" s="410"/>
      <c r="N497" s="410"/>
      <c r="O497" s="410"/>
      <c r="P497" s="410"/>
      <c r="Q497" s="410"/>
      <c r="R497" s="410"/>
      <c r="S497" s="410"/>
      <c r="T497" s="410"/>
      <c r="U497" s="410"/>
      <c r="V497" s="410"/>
      <c r="W497" s="353"/>
    </row>
    <row r="498" spans="1:23" s="354" customFormat="1" ht="23.1" customHeight="1">
      <c r="A498" s="409"/>
      <c r="B498" s="409"/>
      <c r="C498" s="410"/>
      <c r="D498" s="410"/>
      <c r="E498" s="410"/>
      <c r="F498" s="410"/>
      <c r="G498" s="410"/>
      <c r="H498" s="410"/>
      <c r="I498" s="410"/>
      <c r="J498" s="410"/>
      <c r="K498" s="410"/>
      <c r="L498" s="410"/>
      <c r="M498" s="410"/>
      <c r="N498" s="410"/>
      <c r="O498" s="410"/>
      <c r="P498" s="410"/>
      <c r="Q498" s="410"/>
      <c r="R498" s="410"/>
      <c r="S498" s="410"/>
      <c r="T498" s="410"/>
      <c r="U498" s="410"/>
      <c r="V498" s="410"/>
      <c r="W498" s="353"/>
    </row>
    <row r="499" spans="1:23" s="354" customFormat="1" ht="23.1" customHeight="1">
      <c r="A499" s="409"/>
      <c r="B499" s="409"/>
      <c r="C499" s="410"/>
      <c r="D499" s="410"/>
      <c r="E499" s="410"/>
      <c r="F499" s="410"/>
      <c r="G499" s="410"/>
      <c r="H499" s="410"/>
      <c r="I499" s="410"/>
      <c r="J499" s="410"/>
      <c r="K499" s="410"/>
      <c r="L499" s="410"/>
      <c r="M499" s="410"/>
      <c r="N499" s="410"/>
      <c r="O499" s="410"/>
      <c r="P499" s="410"/>
      <c r="Q499" s="410"/>
      <c r="R499" s="410"/>
      <c r="S499" s="410"/>
      <c r="T499" s="410"/>
      <c r="U499" s="410"/>
      <c r="V499" s="410"/>
      <c r="W499" s="353"/>
    </row>
    <row r="500" spans="1:23" s="354" customFormat="1" ht="23.1" customHeight="1">
      <c r="A500" s="409"/>
      <c r="B500" s="409"/>
      <c r="C500" s="410"/>
      <c r="D500" s="410"/>
      <c r="E500" s="410"/>
      <c r="F500" s="410"/>
      <c r="G500" s="410"/>
      <c r="H500" s="410"/>
      <c r="I500" s="410"/>
      <c r="J500" s="410"/>
      <c r="K500" s="410"/>
      <c r="L500" s="410"/>
      <c r="M500" s="410"/>
      <c r="N500" s="410"/>
      <c r="O500" s="410"/>
      <c r="P500" s="410"/>
      <c r="Q500" s="410"/>
      <c r="R500" s="410"/>
      <c r="S500" s="410"/>
      <c r="T500" s="410"/>
      <c r="U500" s="410"/>
      <c r="V500" s="410"/>
      <c r="W500" s="353"/>
    </row>
    <row r="501" spans="1:23" s="354" customFormat="1" ht="23.1" customHeight="1">
      <c r="A501" s="409"/>
      <c r="B501" s="409"/>
      <c r="C501" s="410"/>
      <c r="D501" s="410"/>
      <c r="E501" s="410"/>
      <c r="F501" s="410"/>
      <c r="G501" s="410"/>
      <c r="H501" s="410"/>
      <c r="I501" s="410"/>
      <c r="J501" s="410"/>
      <c r="K501" s="410"/>
      <c r="L501" s="410"/>
      <c r="M501" s="410"/>
      <c r="N501" s="410"/>
      <c r="O501" s="410"/>
      <c r="P501" s="410"/>
      <c r="Q501" s="410"/>
      <c r="R501" s="410"/>
      <c r="S501" s="410"/>
      <c r="T501" s="410"/>
      <c r="U501" s="410"/>
      <c r="V501" s="410"/>
      <c r="W501" s="353"/>
    </row>
    <row r="502" spans="1:23" s="354" customFormat="1" ht="23.1" customHeight="1">
      <c r="A502" s="409"/>
      <c r="B502" s="409"/>
      <c r="C502" s="410"/>
      <c r="D502" s="410"/>
      <c r="E502" s="410"/>
      <c r="F502" s="410"/>
      <c r="G502" s="410"/>
      <c r="H502" s="410"/>
      <c r="I502" s="410"/>
      <c r="J502" s="410"/>
      <c r="K502" s="410"/>
      <c r="L502" s="410"/>
      <c r="M502" s="410"/>
      <c r="N502" s="410"/>
      <c r="O502" s="410"/>
      <c r="P502" s="410"/>
      <c r="Q502" s="410"/>
      <c r="R502" s="410"/>
      <c r="S502" s="410"/>
      <c r="T502" s="410"/>
      <c r="U502" s="410"/>
      <c r="V502" s="410"/>
      <c r="W502" s="353"/>
    </row>
  </sheetData>
  <mergeCells count="20">
    <mergeCell ref="H2:O2"/>
    <mergeCell ref="A1:O1"/>
    <mergeCell ref="A17:A18"/>
    <mergeCell ref="A19:A20"/>
    <mergeCell ref="A21:A22"/>
    <mergeCell ref="A23:A24"/>
    <mergeCell ref="P4:P6"/>
    <mergeCell ref="W6:AB6"/>
    <mergeCell ref="A7:A8"/>
    <mergeCell ref="A9:A10"/>
    <mergeCell ref="A11:A12"/>
    <mergeCell ref="A13:A14"/>
    <mergeCell ref="A15:A16"/>
    <mergeCell ref="V5:V7"/>
    <mergeCell ref="A4:B6"/>
    <mergeCell ref="C4:E5"/>
    <mergeCell ref="F4:H5"/>
    <mergeCell ref="L4:N5"/>
    <mergeCell ref="I4:K5"/>
    <mergeCell ref="O4:O6"/>
  </mergeCells>
  <phoneticPr fontId="11" type="noConversion"/>
  <printOptions horizontalCentered="1"/>
  <pageMargins left="0.59055118110236227" right="0.39370078740157483" top="0.59055118110236227" bottom="0.98425196850393704" header="0.51181102362204722" footer="0.51181102362204722"/>
  <pageSetup paperSize="9" scale="71" orientation="portrait" r:id="rId1"/>
  <headerFooter alignWithMargins="0"/>
  <rowBreaks count="1" manualBreakCount="1">
    <brk id="24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S30"/>
  <sheetViews>
    <sheetView showGridLines="0" showZeros="0" view="pageBreakPreview" workbookViewId="0">
      <selection activeCell="M15" sqref="M15"/>
    </sheetView>
  </sheetViews>
  <sheetFormatPr defaultRowHeight="12"/>
  <cols>
    <col min="1" max="1" width="7.88671875" style="140" customWidth="1"/>
    <col min="2" max="2" width="6.77734375" style="95" customWidth="1"/>
    <col min="3" max="3" width="1.33203125" style="95" customWidth="1"/>
    <col min="4" max="4" width="7.77734375" style="95" customWidth="1"/>
    <col min="5" max="5" width="6.77734375" style="95" customWidth="1"/>
    <col min="6" max="6" width="1.33203125" style="95" customWidth="1"/>
    <col min="7" max="7" width="7.77734375" style="95" customWidth="1"/>
    <col min="8" max="8" width="6.77734375" style="95" customWidth="1"/>
    <col min="9" max="9" width="1.33203125" style="95" customWidth="1"/>
    <col min="10" max="10" width="7.77734375" style="95" customWidth="1"/>
    <col min="11" max="11" width="6.77734375" style="95" customWidth="1"/>
    <col min="12" max="12" width="1.33203125" style="95" customWidth="1"/>
    <col min="13" max="14" width="7.77734375" style="95" customWidth="1"/>
    <col min="15" max="16" width="8.33203125" style="184" customWidth="1"/>
    <col min="17" max="19" width="8.88671875" style="184"/>
    <col min="20" max="16384" width="8.88671875" style="95"/>
  </cols>
  <sheetData>
    <row r="1" spans="1:19" s="139" customFormat="1" ht="30" customHeight="1">
      <c r="A1" s="163" t="s">
        <v>348</v>
      </c>
      <c r="B1" s="96"/>
      <c r="C1" s="96"/>
      <c r="D1" s="94"/>
      <c r="E1" s="94"/>
      <c r="F1" s="96"/>
      <c r="G1" s="96"/>
      <c r="H1" s="94"/>
      <c r="I1" s="96"/>
      <c r="J1" s="96"/>
      <c r="K1" s="96"/>
      <c r="L1" s="96"/>
      <c r="M1" s="96"/>
      <c r="N1" s="96"/>
      <c r="O1" s="74"/>
      <c r="P1" s="74"/>
      <c r="Q1" s="74"/>
      <c r="R1" s="74"/>
      <c r="S1" s="74"/>
    </row>
    <row r="2" spans="1:19" s="142" customFormat="1" ht="15.95" customHeight="1">
      <c r="A2" s="140"/>
      <c r="B2" s="95"/>
      <c r="C2" s="95"/>
      <c r="D2" s="95"/>
      <c r="E2" s="95"/>
      <c r="F2" s="95"/>
      <c r="G2" s="95"/>
      <c r="H2" s="95"/>
      <c r="I2" s="95"/>
      <c r="J2" s="95"/>
      <c r="L2" s="141"/>
      <c r="N2" s="164" t="s">
        <v>334</v>
      </c>
      <c r="O2" s="74"/>
      <c r="P2" s="74"/>
      <c r="Q2" s="74"/>
      <c r="R2" s="74"/>
      <c r="S2" s="74"/>
    </row>
    <row r="3" spans="1:19" s="143" customFormat="1" ht="27.95" customHeight="1">
      <c r="A3" s="488" t="s">
        <v>2</v>
      </c>
      <c r="B3" s="165" t="s">
        <v>3</v>
      </c>
      <c r="C3" s="165"/>
      <c r="D3" s="165"/>
      <c r="E3" s="165" t="s">
        <v>80</v>
      </c>
      <c r="F3" s="165"/>
      <c r="G3" s="165"/>
      <c r="H3" s="165" t="s">
        <v>81</v>
      </c>
      <c r="I3" s="165"/>
      <c r="J3" s="165"/>
      <c r="K3" s="165" t="s">
        <v>82</v>
      </c>
      <c r="L3" s="165"/>
      <c r="M3" s="165"/>
      <c r="N3" s="490" t="s">
        <v>22</v>
      </c>
      <c r="O3" s="74"/>
      <c r="P3" s="74"/>
      <c r="Q3" s="74"/>
      <c r="R3" s="74"/>
      <c r="S3" s="74"/>
    </row>
    <row r="4" spans="1:19" s="143" customFormat="1" ht="27.95" customHeight="1">
      <c r="A4" s="489"/>
      <c r="B4" s="169" t="s">
        <v>78</v>
      </c>
      <c r="C4" s="170" t="s">
        <v>5</v>
      </c>
      <c r="D4" s="171" t="s">
        <v>333</v>
      </c>
      <c r="E4" s="169" t="s">
        <v>4</v>
      </c>
      <c r="F4" s="170" t="s">
        <v>5</v>
      </c>
      <c r="G4" s="171" t="s">
        <v>333</v>
      </c>
      <c r="H4" s="169" t="s">
        <v>4</v>
      </c>
      <c r="I4" s="170" t="s">
        <v>5</v>
      </c>
      <c r="J4" s="171" t="s">
        <v>333</v>
      </c>
      <c r="K4" s="169" t="s">
        <v>4</v>
      </c>
      <c r="L4" s="170" t="s">
        <v>5</v>
      </c>
      <c r="M4" s="171" t="s">
        <v>333</v>
      </c>
      <c r="N4" s="491"/>
      <c r="O4" s="74"/>
      <c r="P4" s="74"/>
      <c r="Q4" s="74"/>
      <c r="R4" s="74"/>
      <c r="S4" s="74"/>
    </row>
    <row r="5" spans="1:19" s="143" customFormat="1" ht="23.1" customHeight="1">
      <c r="A5" s="179" t="s">
        <v>3</v>
      </c>
      <c r="B5" s="172" t="e">
        <f>SUM(B6:B30)</f>
        <v>#REF!</v>
      </c>
      <c r="C5" s="173" t="s">
        <v>5</v>
      </c>
      <c r="D5" s="326" t="e">
        <f>SUM(D6:D30)</f>
        <v>#REF!</v>
      </c>
      <c r="E5" s="172" t="e">
        <f>SUM(E6:E30)</f>
        <v>#REF!</v>
      </c>
      <c r="F5" s="173" t="s">
        <v>5</v>
      </c>
      <c r="G5" s="326" t="e">
        <f>SUM(G6:G30)</f>
        <v>#REF!</v>
      </c>
      <c r="H5" s="172" t="e">
        <f>SUM(H6:H30)</f>
        <v>#REF!</v>
      </c>
      <c r="I5" s="173" t="s">
        <v>5</v>
      </c>
      <c r="J5" s="326" t="e">
        <f>SUM(J6:J30)</f>
        <v>#REF!</v>
      </c>
      <c r="K5" s="172" t="e">
        <f>SUM(K6:K30)</f>
        <v>#REF!</v>
      </c>
      <c r="L5" s="173" t="s">
        <v>5</v>
      </c>
      <c r="M5" s="326" t="e">
        <f>SUM(M6:M30)</f>
        <v>#REF!</v>
      </c>
      <c r="N5" s="168"/>
      <c r="O5" s="74" t="e">
        <f>IF(D5=(G5+J5+M5),"ok","false")</f>
        <v>#REF!</v>
      </c>
      <c r="P5" s="74"/>
      <c r="Q5" s="74" t="s">
        <v>70</v>
      </c>
      <c r="R5" s="74" t="s">
        <v>71</v>
      </c>
      <c r="S5" s="74" t="s">
        <v>98</v>
      </c>
    </row>
    <row r="6" spans="1:19" s="143" customFormat="1" ht="23.1" customHeight="1">
      <c r="A6" s="180" t="s">
        <v>7</v>
      </c>
      <c r="B6" s="175" t="e">
        <f>COUNTIF(#REF!,P6)</f>
        <v>#REF!</v>
      </c>
      <c r="C6" s="76" t="s">
        <v>5</v>
      </c>
      <c r="D6" s="327" t="e">
        <f>SUMIF(#REF!,P6,#REF!)</f>
        <v>#REF!</v>
      </c>
      <c r="E6" s="175" t="e">
        <f>COUNTIF(#REF!,Q6)</f>
        <v>#REF!</v>
      </c>
      <c r="F6" s="76" t="s">
        <v>5</v>
      </c>
      <c r="G6" s="327" t="e">
        <f>SUMIF(#REF!,Q6,#REF!)</f>
        <v>#REF!</v>
      </c>
      <c r="H6" s="175" t="e">
        <f>COUNTIF(#REF!,R6)</f>
        <v>#REF!</v>
      </c>
      <c r="I6" s="76" t="s">
        <v>5</v>
      </c>
      <c r="J6" s="327" t="e">
        <f>SUMIF(#REF!,R6,#REF!)</f>
        <v>#REF!</v>
      </c>
      <c r="K6" s="175" t="e">
        <f>COUNTIF(#REF!,S6)</f>
        <v>#REF!</v>
      </c>
      <c r="L6" s="76" t="s">
        <v>5</v>
      </c>
      <c r="M6" s="327" t="e">
        <f>SUMIF(#REF!,S6,#REF!)</f>
        <v>#REF!</v>
      </c>
      <c r="N6" s="166"/>
      <c r="O6" s="74" t="e">
        <f t="shared" ref="O6:O30" si="0">IF(D6=(G6+J6+M6),"ok","false")</f>
        <v>#REF!</v>
      </c>
      <c r="P6" s="74" t="s">
        <v>62</v>
      </c>
      <c r="Q6" s="183" t="str">
        <f>CONCATENATE($P6,Q$5)</f>
        <v>전국</v>
      </c>
      <c r="R6" s="183" t="str">
        <f t="shared" ref="R6:S21" si="1">CONCATENATE($P6,R$5)</f>
        <v>전공</v>
      </c>
      <c r="S6" s="183" t="str">
        <f t="shared" si="1"/>
        <v>전사</v>
      </c>
    </row>
    <row r="7" spans="1:19" s="143" customFormat="1" ht="23.1" customHeight="1">
      <c r="A7" s="180" t="s">
        <v>8</v>
      </c>
      <c r="B7" s="175" t="e">
        <f>COUNTIF(#REF!,P7)</f>
        <v>#REF!</v>
      </c>
      <c r="C7" s="76" t="s">
        <v>5</v>
      </c>
      <c r="D7" s="327" t="e">
        <f>SUMIF(#REF!,P7,#REF!)</f>
        <v>#REF!</v>
      </c>
      <c r="E7" s="175" t="e">
        <f>COUNTIF(#REF!,"답국")</f>
        <v>#REF!</v>
      </c>
      <c r="F7" s="76" t="s">
        <v>5</v>
      </c>
      <c r="G7" s="327" t="e">
        <f>SUMIF(#REF!,Q7,#REF!)</f>
        <v>#REF!</v>
      </c>
      <c r="H7" s="175" t="e">
        <f>COUNTIF(#REF!,R7)</f>
        <v>#REF!</v>
      </c>
      <c r="I7" s="76" t="s">
        <v>5</v>
      </c>
      <c r="J7" s="327" t="e">
        <f>SUMIF(#REF!,R7,#REF!)</f>
        <v>#REF!</v>
      </c>
      <c r="K7" s="175" t="e">
        <f>COUNTIF(#REF!,S7)</f>
        <v>#REF!</v>
      </c>
      <c r="L7" s="76" t="s">
        <v>5</v>
      </c>
      <c r="M7" s="327" t="e">
        <f>SUMIF(#REF!,S7,#REF!)</f>
        <v>#REF!</v>
      </c>
      <c r="N7" s="166"/>
      <c r="O7" s="74" t="e">
        <f t="shared" si="0"/>
        <v>#REF!</v>
      </c>
      <c r="P7" s="74" t="s">
        <v>67</v>
      </c>
      <c r="Q7" s="183" t="str">
        <f t="shared" ref="Q7:S30" si="2">CONCATENATE($P7,Q$5)</f>
        <v>답국</v>
      </c>
      <c r="R7" s="183" t="str">
        <f t="shared" si="1"/>
        <v>답공</v>
      </c>
      <c r="S7" s="183" t="str">
        <f t="shared" si="1"/>
        <v>답사</v>
      </c>
    </row>
    <row r="8" spans="1:19" s="143" customFormat="1" ht="23.1" customHeight="1">
      <c r="A8" s="181" t="s">
        <v>9</v>
      </c>
      <c r="B8" s="175" t="e">
        <f>COUNTIF(#REF!,P8)</f>
        <v>#REF!</v>
      </c>
      <c r="C8" s="76" t="s">
        <v>5</v>
      </c>
      <c r="D8" s="327" t="e">
        <f>SUMIF(#REF!,P8,#REF!)</f>
        <v>#REF!</v>
      </c>
      <c r="E8" s="175" t="e">
        <f>COUNTIF(#REF!,"임국")</f>
        <v>#REF!</v>
      </c>
      <c r="F8" s="76" t="s">
        <v>5</v>
      </c>
      <c r="G8" s="327" t="e">
        <f>SUMIF(#REF!,Q8,#REF!)</f>
        <v>#REF!</v>
      </c>
      <c r="H8" s="175" t="e">
        <f>COUNTIF(#REF!,R8)</f>
        <v>#REF!</v>
      </c>
      <c r="I8" s="76" t="s">
        <v>5</v>
      </c>
      <c r="J8" s="327" t="e">
        <f>SUMIF(#REF!,R8,#REF!)</f>
        <v>#REF!</v>
      </c>
      <c r="K8" s="175" t="e">
        <f>COUNTIF(#REF!,S8)</f>
        <v>#REF!</v>
      </c>
      <c r="L8" s="76" t="s">
        <v>5</v>
      </c>
      <c r="M8" s="327" t="e">
        <f>SUMIF(#REF!,S8,#REF!)</f>
        <v>#REF!</v>
      </c>
      <c r="N8" s="166"/>
      <c r="O8" s="74" t="e">
        <f t="shared" si="0"/>
        <v>#REF!</v>
      </c>
      <c r="P8" s="74" t="s">
        <v>64</v>
      </c>
      <c r="Q8" s="183" t="str">
        <f t="shared" si="2"/>
        <v>임국</v>
      </c>
      <c r="R8" s="183" t="str">
        <f t="shared" si="1"/>
        <v>임공</v>
      </c>
      <c r="S8" s="183" t="str">
        <f t="shared" si="1"/>
        <v>임사</v>
      </c>
    </row>
    <row r="9" spans="1:19" s="143" customFormat="1" ht="23.1" customHeight="1">
      <c r="A9" s="180" t="s">
        <v>10</v>
      </c>
      <c r="B9" s="175" t="e">
        <f>COUNTIF(#REF!,P9)</f>
        <v>#REF!</v>
      </c>
      <c r="C9" s="76" t="s">
        <v>5</v>
      </c>
      <c r="D9" s="327" t="e">
        <f>SUMIF(#REF!,P9,#REF!)</f>
        <v>#REF!</v>
      </c>
      <c r="E9" s="175" t="e">
        <f>COUNTIF(#REF!,"대국")</f>
        <v>#REF!</v>
      </c>
      <c r="F9" s="76" t="s">
        <v>5</v>
      </c>
      <c r="G9" s="327" t="e">
        <f>SUMIF(#REF!,Q9,#REF!)</f>
        <v>#REF!</v>
      </c>
      <c r="H9" s="175" t="e">
        <f>COUNTIF(#REF!,R9)</f>
        <v>#REF!</v>
      </c>
      <c r="I9" s="76" t="s">
        <v>5</v>
      </c>
      <c r="J9" s="327" t="e">
        <f>SUMIF(#REF!,R9,#REF!)</f>
        <v>#REF!</v>
      </c>
      <c r="K9" s="175" t="e">
        <f>COUNTIF(#REF!,S9)</f>
        <v>#REF!</v>
      </c>
      <c r="L9" s="76" t="s">
        <v>5</v>
      </c>
      <c r="M9" s="327" t="e">
        <f>SUMIF(#REF!,S9,#REF!)</f>
        <v>#REF!</v>
      </c>
      <c r="N9" s="166"/>
      <c r="O9" s="74" t="e">
        <f t="shared" si="0"/>
        <v>#REF!</v>
      </c>
      <c r="P9" s="74" t="s">
        <v>61</v>
      </c>
      <c r="Q9" s="183" t="str">
        <f t="shared" si="2"/>
        <v>대국</v>
      </c>
      <c r="R9" s="183" t="str">
        <f t="shared" si="1"/>
        <v>대공</v>
      </c>
      <c r="S9" s="183" t="str">
        <f t="shared" si="1"/>
        <v>대사</v>
      </c>
    </row>
    <row r="10" spans="1:19" s="143" customFormat="1" ht="23.1" customHeight="1">
      <c r="A10" s="180" t="s">
        <v>11</v>
      </c>
      <c r="B10" s="175" t="e">
        <f>COUNTIF(#REF!,P10)</f>
        <v>#REF!</v>
      </c>
      <c r="C10" s="76" t="s">
        <v>5</v>
      </c>
      <c r="D10" s="327" t="e">
        <f>SUMIF(#REF!,P10,#REF!)</f>
        <v>#REF!</v>
      </c>
      <c r="E10" s="175" t="e">
        <f>COUNTIF(#REF!,"도국")</f>
        <v>#REF!</v>
      </c>
      <c r="F10" s="76" t="s">
        <v>5</v>
      </c>
      <c r="G10" s="327" t="e">
        <f>SUMIF(#REF!,Q10,#REF!)</f>
        <v>#REF!</v>
      </c>
      <c r="H10" s="175" t="e">
        <f>COUNTIF(#REF!,R10)</f>
        <v>#REF!</v>
      </c>
      <c r="I10" s="76" t="s">
        <v>5</v>
      </c>
      <c r="J10" s="327" t="e">
        <f>SUMIF(#REF!,R10,#REF!)</f>
        <v>#REF!</v>
      </c>
      <c r="K10" s="175" t="e">
        <f>COUNTIF(#REF!,S10)</f>
        <v>#REF!</v>
      </c>
      <c r="L10" s="76" t="s">
        <v>5</v>
      </c>
      <c r="M10" s="327" t="e">
        <f>SUMIF(#REF!,S10,#REF!)</f>
        <v>#REF!</v>
      </c>
      <c r="N10" s="166"/>
      <c r="O10" s="74" t="e">
        <f t="shared" si="0"/>
        <v>#REF!</v>
      </c>
      <c r="P10" s="74" t="s">
        <v>63</v>
      </c>
      <c r="Q10" s="183" t="str">
        <f t="shared" si="2"/>
        <v>도국</v>
      </c>
      <c r="R10" s="183" t="str">
        <f t="shared" si="1"/>
        <v>도공</v>
      </c>
      <c r="S10" s="183" t="str">
        <f t="shared" si="1"/>
        <v>도사</v>
      </c>
    </row>
    <row r="11" spans="1:19" s="143" customFormat="1" ht="23.1" customHeight="1">
      <c r="A11" s="180" t="s">
        <v>13</v>
      </c>
      <c r="B11" s="175" t="e">
        <f>COUNTIF(#REF!,P11)</f>
        <v>#REF!</v>
      </c>
      <c r="C11" s="76" t="s">
        <v>5</v>
      </c>
      <c r="D11" s="327" t="e">
        <f>SUMIF(#REF!,P11,#REF!)</f>
        <v>#REF!</v>
      </c>
      <c r="E11" s="175" t="e">
        <f>COUNTIF(#REF!,"구국")</f>
        <v>#REF!</v>
      </c>
      <c r="F11" s="76" t="s">
        <v>5</v>
      </c>
      <c r="G11" s="327" t="e">
        <f>SUMIF(#REF!,Q11,#REF!)</f>
        <v>#REF!</v>
      </c>
      <c r="H11" s="175" t="e">
        <f>COUNTIF(#REF!,R11)</f>
        <v>#REF!</v>
      </c>
      <c r="I11" s="76" t="s">
        <v>5</v>
      </c>
      <c r="J11" s="327" t="e">
        <f>SUMIF(#REF!,R11,#REF!)</f>
        <v>#REF!</v>
      </c>
      <c r="K11" s="175" t="e">
        <f>COUNTIF(#REF!,S11)</f>
        <v>#REF!</v>
      </c>
      <c r="L11" s="76" t="s">
        <v>5</v>
      </c>
      <c r="M11" s="327" t="e">
        <f>SUMIF(#REF!,S11,#REF!)</f>
        <v>#REF!</v>
      </c>
      <c r="N11" s="166"/>
      <c r="O11" s="74" t="e">
        <f t="shared" si="0"/>
        <v>#REF!</v>
      </c>
      <c r="P11" s="74" t="s">
        <v>69</v>
      </c>
      <c r="Q11" s="183" t="str">
        <f t="shared" si="2"/>
        <v>구국</v>
      </c>
      <c r="R11" s="183" t="str">
        <f t="shared" si="1"/>
        <v>구공</v>
      </c>
      <c r="S11" s="183" t="str">
        <f t="shared" si="1"/>
        <v>구사</v>
      </c>
    </row>
    <row r="12" spans="1:19" s="143" customFormat="1" ht="23.1" customHeight="1">
      <c r="A12" s="180" t="s">
        <v>12</v>
      </c>
      <c r="B12" s="175" t="e">
        <f>COUNTIF(#REF!,P12)</f>
        <v>#REF!</v>
      </c>
      <c r="C12" s="76" t="s">
        <v>5</v>
      </c>
      <c r="D12" s="327" t="e">
        <f>SUMIF(#REF!,P12,#REF!)</f>
        <v>#REF!</v>
      </c>
      <c r="E12" s="175" t="e">
        <f>COUNTIF(#REF!,"천국")</f>
        <v>#REF!</v>
      </c>
      <c r="F12" s="76" t="s">
        <v>5</v>
      </c>
      <c r="G12" s="327" t="e">
        <f>SUMIF(#REF!,Q12,#REF!)</f>
        <v>#REF!</v>
      </c>
      <c r="H12" s="175" t="e">
        <f>COUNTIF(#REF!,R12)</f>
        <v>#REF!</v>
      </c>
      <c r="I12" s="76" t="s">
        <v>5</v>
      </c>
      <c r="J12" s="327" t="e">
        <f>SUMIF(#REF!,R12,#REF!)</f>
        <v>#REF!</v>
      </c>
      <c r="K12" s="175" t="e">
        <f>COUNTIF(#REF!,S12)</f>
        <v>#REF!</v>
      </c>
      <c r="L12" s="76" t="s">
        <v>5</v>
      </c>
      <c r="M12" s="327" t="e">
        <f>SUMIF(#REF!,S12,#REF!)</f>
        <v>#REF!</v>
      </c>
      <c r="N12" s="166"/>
      <c r="O12" s="74" t="e">
        <f t="shared" si="0"/>
        <v>#REF!</v>
      </c>
      <c r="P12" s="74" t="s">
        <v>83</v>
      </c>
      <c r="Q12" s="183" t="str">
        <f t="shared" si="2"/>
        <v>천국</v>
      </c>
      <c r="R12" s="183" t="str">
        <f t="shared" si="1"/>
        <v>천공</v>
      </c>
      <c r="S12" s="183" t="str">
        <f t="shared" si="1"/>
        <v>천사</v>
      </c>
    </row>
    <row r="13" spans="1:19" s="143" customFormat="1" ht="23.1" customHeight="1">
      <c r="A13" s="180" t="s">
        <v>15</v>
      </c>
      <c r="B13" s="175" t="e">
        <f>COUNTIF(#REF!,P13)</f>
        <v>#REF!</v>
      </c>
      <c r="C13" s="76" t="s">
        <v>5</v>
      </c>
      <c r="D13" s="327" t="e">
        <f>SUMIF(#REF!,P13,#REF!)</f>
        <v>#REF!</v>
      </c>
      <c r="E13" s="175" t="e">
        <f>COUNTIF(#REF!,"유국")</f>
        <v>#REF!</v>
      </c>
      <c r="F13" s="76" t="s">
        <v>5</v>
      </c>
      <c r="G13" s="327" t="e">
        <f>SUMIF(#REF!,Q13,#REF!)</f>
        <v>#REF!</v>
      </c>
      <c r="H13" s="175" t="e">
        <f>COUNTIF(#REF!,R13)</f>
        <v>#REF!</v>
      </c>
      <c r="I13" s="76" t="s">
        <v>5</v>
      </c>
      <c r="J13" s="327" t="e">
        <f>SUMIF(#REF!,R13,#REF!)</f>
        <v>#REF!</v>
      </c>
      <c r="K13" s="175" t="e">
        <f>COUNTIF(#REF!,S13)</f>
        <v>#REF!</v>
      </c>
      <c r="L13" s="76" t="s">
        <v>5</v>
      </c>
      <c r="M13" s="327" t="e">
        <f>SUMIF(#REF!,S13,#REF!)</f>
        <v>#REF!</v>
      </c>
      <c r="N13" s="166"/>
      <c r="O13" s="74" t="e">
        <f t="shared" si="0"/>
        <v>#REF!</v>
      </c>
      <c r="P13" s="74" t="s">
        <v>84</v>
      </c>
      <c r="Q13" s="183" t="str">
        <f t="shared" si="2"/>
        <v>유국</v>
      </c>
      <c r="R13" s="183" t="str">
        <f t="shared" si="1"/>
        <v>유공</v>
      </c>
      <c r="S13" s="183" t="str">
        <f t="shared" si="1"/>
        <v>유사</v>
      </c>
    </row>
    <row r="14" spans="1:19" s="143" customFormat="1" ht="23.1" customHeight="1">
      <c r="A14" s="180" t="s">
        <v>14</v>
      </c>
      <c r="B14" s="175" t="e">
        <f>COUNTIF(#REF!,P14)</f>
        <v>#REF!</v>
      </c>
      <c r="C14" s="76" t="s">
        <v>5</v>
      </c>
      <c r="D14" s="327" t="e">
        <f>SUMIF(#REF!,P14,#REF!)</f>
        <v>#REF!</v>
      </c>
      <c r="E14" s="175" t="e">
        <f>COUNTIF(#REF!,"제국")</f>
        <v>#REF!</v>
      </c>
      <c r="F14" s="76" t="s">
        <v>5</v>
      </c>
      <c r="G14" s="327" t="e">
        <f>SUMIF(#REF!,Q14,#REF!)</f>
        <v>#REF!</v>
      </c>
      <c r="H14" s="175" t="e">
        <f>COUNTIF(#REF!,R14)</f>
        <v>#REF!</v>
      </c>
      <c r="I14" s="76" t="s">
        <v>5</v>
      </c>
      <c r="J14" s="327" t="e">
        <f>SUMIF(#REF!,R14,#REF!)</f>
        <v>#REF!</v>
      </c>
      <c r="K14" s="175" t="e">
        <f>COUNTIF(#REF!,S14)</f>
        <v>#REF!</v>
      </c>
      <c r="L14" s="76" t="s">
        <v>5</v>
      </c>
      <c r="M14" s="327" t="e">
        <f>SUMIF(#REF!,S14,#REF!)</f>
        <v>#REF!</v>
      </c>
      <c r="N14" s="166"/>
      <c r="O14" s="74" t="e">
        <f t="shared" si="0"/>
        <v>#REF!</v>
      </c>
      <c r="P14" s="74" t="s">
        <v>85</v>
      </c>
      <c r="Q14" s="183" t="str">
        <f t="shared" si="2"/>
        <v>제국</v>
      </c>
      <c r="R14" s="183" t="str">
        <f t="shared" si="1"/>
        <v>제공</v>
      </c>
      <c r="S14" s="183" t="str">
        <f t="shared" si="1"/>
        <v>제사</v>
      </c>
    </row>
    <row r="15" spans="1:19" s="143" customFormat="1" ht="23.1" customHeight="1">
      <c r="A15" s="180" t="s">
        <v>16</v>
      </c>
      <c r="B15" s="175" t="e">
        <f>COUNTIF(#REF!,P15)</f>
        <v>#REF!</v>
      </c>
      <c r="C15" s="76" t="s">
        <v>5</v>
      </c>
      <c r="D15" s="327" t="e">
        <f>SUMIF(#REF!,P15,#REF!)</f>
        <v>#REF!</v>
      </c>
      <c r="E15" s="175" t="e">
        <f>COUNTIF(#REF!,"과국")</f>
        <v>#REF!</v>
      </c>
      <c r="F15" s="76" t="s">
        <v>5</v>
      </c>
      <c r="G15" s="327" t="e">
        <f>SUMIF(#REF!,Q15,#REF!)</f>
        <v>#REF!</v>
      </c>
      <c r="H15" s="175" t="e">
        <f>COUNTIF(#REF!,R15)</f>
        <v>#REF!</v>
      </c>
      <c r="I15" s="76" t="s">
        <v>5</v>
      </c>
      <c r="J15" s="327" t="e">
        <f>SUMIF(#REF!,R15,#REF!)</f>
        <v>#REF!</v>
      </c>
      <c r="K15" s="175" t="e">
        <f>COUNTIF(#REF!,S15)</f>
        <v>#REF!</v>
      </c>
      <c r="L15" s="76" t="s">
        <v>5</v>
      </c>
      <c r="M15" s="327" t="e">
        <f>SUMIF(#REF!,S15,#REF!)</f>
        <v>#REF!</v>
      </c>
      <c r="N15" s="166"/>
      <c r="O15" s="74" t="e">
        <f t="shared" si="0"/>
        <v>#REF!</v>
      </c>
      <c r="P15" s="74" t="s">
        <v>86</v>
      </c>
      <c r="Q15" s="183" t="str">
        <f t="shared" si="2"/>
        <v>과국</v>
      </c>
      <c r="R15" s="183" t="str">
        <f t="shared" si="1"/>
        <v>과공</v>
      </c>
      <c r="S15" s="183" t="str">
        <f t="shared" si="1"/>
        <v>과사</v>
      </c>
    </row>
    <row r="16" spans="1:19" s="143" customFormat="1" ht="23.1" customHeight="1">
      <c r="A16" s="180" t="s">
        <v>21</v>
      </c>
      <c r="B16" s="175" t="e">
        <f>COUNTIF(#REF!,P16)</f>
        <v>#REF!</v>
      </c>
      <c r="C16" s="76" t="s">
        <v>5</v>
      </c>
      <c r="D16" s="327" t="e">
        <f>SUMIF(#REF!,P16,#REF!)</f>
        <v>#REF!</v>
      </c>
      <c r="E16" s="175" t="e">
        <f>COUNTIF(#REF!,"장국")</f>
        <v>#REF!</v>
      </c>
      <c r="F16" s="76" t="s">
        <v>5</v>
      </c>
      <c r="G16" s="327" t="e">
        <f>SUMIF(#REF!,Q16,#REF!)</f>
        <v>#REF!</v>
      </c>
      <c r="H16" s="175" t="e">
        <f>COUNTIF(#REF!,R16)</f>
        <v>#REF!</v>
      </c>
      <c r="I16" s="76" t="s">
        <v>5</v>
      </c>
      <c r="J16" s="327" t="e">
        <f>SUMIF(#REF!,R16,#REF!)</f>
        <v>#REF!</v>
      </c>
      <c r="K16" s="175" t="e">
        <f>COUNTIF(#REF!,S16)</f>
        <v>#REF!</v>
      </c>
      <c r="L16" s="76" t="s">
        <v>5</v>
      </c>
      <c r="M16" s="327" t="e">
        <f>SUMIF(#REF!,S16,#REF!)</f>
        <v>#REF!</v>
      </c>
      <c r="N16" s="166"/>
      <c r="O16" s="74" t="e">
        <f t="shared" si="0"/>
        <v>#REF!</v>
      </c>
      <c r="P16" s="74" t="s">
        <v>65</v>
      </c>
      <c r="Q16" s="183" t="str">
        <f t="shared" si="2"/>
        <v>장국</v>
      </c>
      <c r="R16" s="183" t="str">
        <f t="shared" si="1"/>
        <v>장공</v>
      </c>
      <c r="S16" s="183" t="str">
        <f t="shared" si="1"/>
        <v>장사</v>
      </c>
    </row>
    <row r="17" spans="1:19" s="143" customFormat="1" ht="23.1" customHeight="1">
      <c r="A17" s="180" t="s">
        <v>18</v>
      </c>
      <c r="B17" s="175" t="e">
        <f>COUNTIF(#REF!,P17)</f>
        <v>#REF!</v>
      </c>
      <c r="C17" s="76" t="s">
        <v>5</v>
      </c>
      <c r="D17" s="327" t="e">
        <f>SUMIF(#REF!,P17,#REF!)</f>
        <v>#REF!</v>
      </c>
      <c r="E17" s="175" t="e">
        <f>COUNTIF(#REF!,"목국")</f>
        <v>#REF!</v>
      </c>
      <c r="F17" s="76" t="s">
        <v>5</v>
      </c>
      <c r="G17" s="327" t="e">
        <f>SUMIF(#REF!,Q17,#REF!)</f>
        <v>#REF!</v>
      </c>
      <c r="H17" s="175" t="e">
        <f>COUNTIF(#REF!,R17)</f>
        <v>#REF!</v>
      </c>
      <c r="I17" s="76" t="s">
        <v>5</v>
      </c>
      <c r="J17" s="327" t="e">
        <f>SUMIF(#REF!,R17,#REF!)</f>
        <v>#REF!</v>
      </c>
      <c r="K17" s="175" t="e">
        <f>COUNTIF(#REF!,S17)</f>
        <v>#REF!</v>
      </c>
      <c r="L17" s="76" t="s">
        <v>5</v>
      </c>
      <c r="M17" s="327" t="e">
        <f>SUMIF(#REF!,S17,#REF!)</f>
        <v>#REF!</v>
      </c>
      <c r="N17" s="166"/>
      <c r="O17" s="74" t="e">
        <f t="shared" si="0"/>
        <v>#REF!</v>
      </c>
      <c r="P17" s="74" t="s">
        <v>66</v>
      </c>
      <c r="Q17" s="183" t="str">
        <f t="shared" si="2"/>
        <v>목국</v>
      </c>
      <c r="R17" s="183" t="str">
        <f t="shared" si="1"/>
        <v>목공</v>
      </c>
      <c r="S17" s="183" t="str">
        <f t="shared" si="1"/>
        <v>목사</v>
      </c>
    </row>
    <row r="18" spans="1:19" s="143" customFormat="1" ht="23.1" customHeight="1">
      <c r="A18" s="180" t="s">
        <v>23</v>
      </c>
      <c r="B18" s="175" t="e">
        <f>COUNTIF(#REF!,P18)</f>
        <v>#REF!</v>
      </c>
      <c r="C18" s="76" t="s">
        <v>5</v>
      </c>
      <c r="D18" s="327" t="e">
        <f>SUMIF(#REF!,P18,#REF!)</f>
        <v>#REF!</v>
      </c>
      <c r="E18" s="175" t="e">
        <f>COUNTIF(#REF!,"학국")</f>
        <v>#REF!</v>
      </c>
      <c r="F18" s="76" t="s">
        <v>5</v>
      </c>
      <c r="G18" s="327" t="e">
        <f>SUMIF(#REF!,Q18,#REF!)</f>
        <v>#REF!</v>
      </c>
      <c r="H18" s="175" t="e">
        <f>COUNTIF(#REF!,R18)</f>
        <v>#REF!</v>
      </c>
      <c r="I18" s="76" t="s">
        <v>5</v>
      </c>
      <c r="J18" s="327" t="e">
        <f>SUMIF(#REF!,R18,#REF!)</f>
        <v>#REF!</v>
      </c>
      <c r="K18" s="175" t="e">
        <f>COUNTIF(#REF!,S18)</f>
        <v>#REF!</v>
      </c>
      <c r="L18" s="76" t="s">
        <v>5</v>
      </c>
      <c r="M18" s="327" t="e">
        <f>SUMIF(#REF!,S18,#REF!)</f>
        <v>#REF!</v>
      </c>
      <c r="N18" s="166"/>
      <c r="O18" s="74" t="e">
        <f t="shared" si="0"/>
        <v>#REF!</v>
      </c>
      <c r="P18" s="74" t="s">
        <v>87</v>
      </c>
      <c r="Q18" s="183" t="str">
        <f t="shared" si="2"/>
        <v>학국</v>
      </c>
      <c r="R18" s="183" t="str">
        <f t="shared" si="1"/>
        <v>학공</v>
      </c>
      <c r="S18" s="183" t="str">
        <f t="shared" si="1"/>
        <v>학사</v>
      </c>
    </row>
    <row r="19" spans="1:19" s="143" customFormat="1" ht="23.1" customHeight="1">
      <c r="A19" s="180" t="s">
        <v>41</v>
      </c>
      <c r="B19" s="175" t="e">
        <f>COUNTIF(#REF!,P19)</f>
        <v>#REF!</v>
      </c>
      <c r="C19" s="76" t="s">
        <v>5</v>
      </c>
      <c r="D19" s="327" t="e">
        <f>SUMIF(#REF!,P19,#REF!)</f>
        <v>#REF!</v>
      </c>
      <c r="E19" s="175" t="e">
        <f>COUNTIF(#REF!,"철국")</f>
        <v>#REF!</v>
      </c>
      <c r="F19" s="76" t="s">
        <v>5</v>
      </c>
      <c r="G19" s="327" t="e">
        <f>SUMIF(#REF!,Q19,#REF!)</f>
        <v>#REF!</v>
      </c>
      <c r="H19" s="175" t="e">
        <f>COUNTIF(#REF!,R19)</f>
        <v>#REF!</v>
      </c>
      <c r="I19" s="76" t="s">
        <v>5</v>
      </c>
      <c r="J19" s="327" t="e">
        <f>SUMIF(#REF!,R19,#REF!)</f>
        <v>#REF!</v>
      </c>
      <c r="K19" s="175" t="e">
        <f>COUNTIF(#REF!,S19)</f>
        <v>#REF!</v>
      </c>
      <c r="L19" s="76" t="s">
        <v>5</v>
      </c>
      <c r="M19" s="327" t="e">
        <f>SUMIF(#REF!,S19,#REF!)</f>
        <v>#REF!</v>
      </c>
      <c r="N19" s="166"/>
      <c r="O19" s="74" t="e">
        <f t="shared" si="0"/>
        <v>#REF!</v>
      </c>
      <c r="P19" s="74" t="s">
        <v>88</v>
      </c>
      <c r="Q19" s="183" t="str">
        <f t="shared" si="2"/>
        <v>철국</v>
      </c>
      <c r="R19" s="183" t="str">
        <f t="shared" si="1"/>
        <v>철공</v>
      </c>
      <c r="S19" s="183" t="str">
        <f t="shared" si="1"/>
        <v>철사</v>
      </c>
    </row>
    <row r="20" spans="1:19" s="143" customFormat="1" ht="23.1" customHeight="1">
      <c r="A20" s="180" t="s">
        <v>17</v>
      </c>
      <c r="B20" s="175" t="e">
        <f>COUNTIF(#REF!,P20)</f>
        <v>#REF!</v>
      </c>
      <c r="C20" s="76" t="s">
        <v>5</v>
      </c>
      <c r="D20" s="327" t="e">
        <f>SUMIF(#REF!,P20,#REF!)</f>
        <v>#REF!</v>
      </c>
      <c r="E20" s="175" t="e">
        <f>COUNTIF(#REF!,"묘국")</f>
        <v>#REF!</v>
      </c>
      <c r="F20" s="76" t="s">
        <v>5</v>
      </c>
      <c r="G20" s="327" t="e">
        <f>SUMIF(#REF!,Q20,#REF!)</f>
        <v>#REF!</v>
      </c>
      <c r="H20" s="175" t="e">
        <f>COUNTIF(#REF!,R20)</f>
        <v>#REF!</v>
      </c>
      <c r="I20" s="76" t="s">
        <v>5</v>
      </c>
      <c r="J20" s="327" t="e">
        <f>SUMIF(#REF!,R20,#REF!)</f>
        <v>#REF!</v>
      </c>
      <c r="K20" s="175" t="e">
        <f>COUNTIF(#REF!,S20)</f>
        <v>#REF!</v>
      </c>
      <c r="L20" s="76" t="s">
        <v>5</v>
      </c>
      <c r="M20" s="327" t="e">
        <f>SUMIF(#REF!,S20,#REF!)</f>
        <v>#REF!</v>
      </c>
      <c r="N20" s="166"/>
      <c r="O20" s="74" t="e">
        <f t="shared" si="0"/>
        <v>#REF!</v>
      </c>
      <c r="P20" s="74" t="s">
        <v>68</v>
      </c>
      <c r="Q20" s="183" t="str">
        <f t="shared" si="2"/>
        <v>묘국</v>
      </c>
      <c r="R20" s="183" t="str">
        <f t="shared" si="1"/>
        <v>묘공</v>
      </c>
      <c r="S20" s="183" t="str">
        <f t="shared" si="1"/>
        <v>묘사</v>
      </c>
    </row>
    <row r="21" spans="1:19" s="143" customFormat="1" ht="23.1" customHeight="1">
      <c r="A21" s="180" t="s">
        <v>20</v>
      </c>
      <c r="B21" s="175" t="e">
        <f>COUNTIF(#REF!,P21)</f>
        <v>#REF!</v>
      </c>
      <c r="C21" s="76" t="s">
        <v>5</v>
      </c>
      <c r="D21" s="327" t="e">
        <f>SUMIF(#REF!,P21,#REF!)</f>
        <v>#REF!</v>
      </c>
      <c r="E21" s="175" t="e">
        <f>COUNTIF(#REF!,"수국")</f>
        <v>#REF!</v>
      </c>
      <c r="F21" s="76" t="s">
        <v>5</v>
      </c>
      <c r="G21" s="327" t="e">
        <f>SUMIF(#REF!,Q21,#REF!)</f>
        <v>#REF!</v>
      </c>
      <c r="H21" s="175" t="e">
        <f>COUNTIF(#REF!,R21)</f>
        <v>#REF!</v>
      </c>
      <c r="I21" s="76" t="s">
        <v>5</v>
      </c>
      <c r="J21" s="327" t="e">
        <f>SUMIF(#REF!,R21,#REF!)</f>
        <v>#REF!</v>
      </c>
      <c r="K21" s="175" t="e">
        <f>COUNTIF(#REF!,S21)</f>
        <v>#REF!</v>
      </c>
      <c r="L21" s="76" t="s">
        <v>5</v>
      </c>
      <c r="M21" s="327" t="e">
        <f>SUMIF(#REF!,S21,#REF!)</f>
        <v>#REF!</v>
      </c>
      <c r="N21" s="166"/>
      <c r="O21" s="74" t="e">
        <f t="shared" si="0"/>
        <v>#REF!</v>
      </c>
      <c r="P21" s="74" t="s">
        <v>89</v>
      </c>
      <c r="Q21" s="183" t="str">
        <f t="shared" si="2"/>
        <v>수국</v>
      </c>
      <c r="R21" s="183" t="str">
        <f t="shared" si="1"/>
        <v>수공</v>
      </c>
      <c r="S21" s="183" t="str">
        <f t="shared" si="1"/>
        <v>수사</v>
      </c>
    </row>
    <row r="22" spans="1:19" s="143" customFormat="1" ht="23.1" customHeight="1">
      <c r="A22" s="180" t="s">
        <v>19</v>
      </c>
      <c r="B22" s="175" t="e">
        <f>COUNTIF(#REF!,P22)</f>
        <v>#REF!</v>
      </c>
      <c r="C22" s="76" t="s">
        <v>5</v>
      </c>
      <c r="D22" s="327" t="e">
        <f>SUMIF(#REF!,P22,#REF!)</f>
        <v>#REF!</v>
      </c>
      <c r="E22" s="175" t="e">
        <f>COUNTIF(#REF!,"잡국")</f>
        <v>#REF!</v>
      </c>
      <c r="F22" s="76" t="s">
        <v>5</v>
      </c>
      <c r="G22" s="327" t="e">
        <f>SUMIF(#REF!,Q22,#REF!)</f>
        <v>#REF!</v>
      </c>
      <c r="H22" s="175" t="e">
        <f>COUNTIF(#REF!,R22)</f>
        <v>#REF!</v>
      </c>
      <c r="I22" s="76" t="s">
        <v>5</v>
      </c>
      <c r="J22" s="327" t="e">
        <f>SUMIF(#REF!,R22,#REF!)</f>
        <v>#REF!</v>
      </c>
      <c r="K22" s="175" t="e">
        <f>COUNTIF(#REF!,S22)</f>
        <v>#REF!</v>
      </c>
      <c r="L22" s="76" t="s">
        <v>5</v>
      </c>
      <c r="M22" s="327" t="e">
        <f>SUMIF(#REF!,S22,#REF!)</f>
        <v>#REF!</v>
      </c>
      <c r="N22" s="166"/>
      <c r="O22" s="74" t="e">
        <f t="shared" si="0"/>
        <v>#REF!</v>
      </c>
      <c r="P22" s="74" t="s">
        <v>90</v>
      </c>
      <c r="Q22" s="183" t="str">
        <f t="shared" si="2"/>
        <v>잡국</v>
      </c>
      <c r="R22" s="183" t="str">
        <f t="shared" si="2"/>
        <v>잡공</v>
      </c>
      <c r="S22" s="183" t="str">
        <f t="shared" si="2"/>
        <v>잡사</v>
      </c>
    </row>
    <row r="23" spans="1:19" s="143" customFormat="1" ht="23.1" customHeight="1">
      <c r="A23" s="180" t="s">
        <v>42</v>
      </c>
      <c r="B23" s="175" t="e">
        <f>COUNTIF(#REF!,P23)</f>
        <v>#REF!</v>
      </c>
      <c r="C23" s="76" t="s">
        <v>5</v>
      </c>
      <c r="D23" s="327" t="e">
        <f>SUMIF(#REF!,P23,#REF!)</f>
        <v>#REF!</v>
      </c>
      <c r="E23" s="175" t="e">
        <f>COUNTIF(#REF!,"종국")</f>
        <v>#REF!</v>
      </c>
      <c r="F23" s="76" t="s">
        <v>5</v>
      </c>
      <c r="G23" s="327" t="e">
        <f>SUMIF(#REF!,Q23,#REF!)</f>
        <v>#REF!</v>
      </c>
      <c r="H23" s="175" t="e">
        <f>COUNTIF(#REF!,R23)</f>
        <v>#REF!</v>
      </c>
      <c r="I23" s="76" t="s">
        <v>5</v>
      </c>
      <c r="J23" s="327" t="e">
        <f>SUMIF(#REF!,R23,#REF!)</f>
        <v>#REF!</v>
      </c>
      <c r="K23" s="175" t="e">
        <f>COUNTIF(#REF!,S23)</f>
        <v>#REF!</v>
      </c>
      <c r="L23" s="76" t="s">
        <v>5</v>
      </c>
      <c r="M23" s="327" t="e">
        <f>SUMIF(#REF!,S23,#REF!)</f>
        <v>#REF!</v>
      </c>
      <c r="N23" s="166"/>
      <c r="O23" s="74" t="e">
        <f t="shared" si="0"/>
        <v>#REF!</v>
      </c>
      <c r="P23" s="74" t="s">
        <v>91</v>
      </c>
      <c r="Q23" s="183" t="str">
        <f t="shared" si="2"/>
        <v>종국</v>
      </c>
      <c r="R23" s="183" t="str">
        <f t="shared" si="2"/>
        <v>종공</v>
      </c>
      <c r="S23" s="183" t="str">
        <f t="shared" si="2"/>
        <v>종사</v>
      </c>
    </row>
    <row r="24" spans="1:19" s="143" customFormat="1" ht="23.1" customHeight="1">
      <c r="A24" s="180" t="s">
        <v>43</v>
      </c>
      <c r="B24" s="175" t="e">
        <f>COUNTIF(#REF!,P24)</f>
        <v>#REF!</v>
      </c>
      <c r="C24" s="76" t="s">
        <v>5</v>
      </c>
      <c r="D24" s="327" t="e">
        <f>SUMIF(#REF!,P24,#REF!)</f>
        <v>#REF!</v>
      </c>
      <c r="E24" s="175" t="e">
        <f>COUNTIF(#REF!,"염국")</f>
        <v>#REF!</v>
      </c>
      <c r="F24" s="76" t="s">
        <v>5</v>
      </c>
      <c r="G24" s="327" t="e">
        <f>SUMIF(#REF!,Q24,#REF!)</f>
        <v>#REF!</v>
      </c>
      <c r="H24" s="175" t="e">
        <f>COUNTIF(#REF!,R24)</f>
        <v>#REF!</v>
      </c>
      <c r="I24" s="76" t="s">
        <v>5</v>
      </c>
      <c r="J24" s="327" t="e">
        <f>SUMIF(#REF!,R24,#REF!)</f>
        <v>#REF!</v>
      </c>
      <c r="K24" s="175" t="e">
        <f>COUNTIF(#REF!,S24)</f>
        <v>#REF!</v>
      </c>
      <c r="L24" s="76" t="s">
        <v>5</v>
      </c>
      <c r="M24" s="327" t="e">
        <f>SUMIF(#REF!,S24,#REF!)</f>
        <v>#REF!</v>
      </c>
      <c r="N24" s="166"/>
      <c r="O24" s="74" t="e">
        <f t="shared" si="0"/>
        <v>#REF!</v>
      </c>
      <c r="P24" s="74" t="s">
        <v>92</v>
      </c>
      <c r="Q24" s="183" t="str">
        <f t="shared" si="2"/>
        <v>염국</v>
      </c>
      <c r="R24" s="183" t="str">
        <f t="shared" si="2"/>
        <v>염공</v>
      </c>
      <c r="S24" s="183" t="str">
        <f t="shared" si="2"/>
        <v>염사</v>
      </c>
    </row>
    <row r="25" spans="1:19" s="143" customFormat="1" ht="23.1" customHeight="1">
      <c r="A25" s="180" t="s">
        <v>44</v>
      </c>
      <c r="B25" s="175" t="e">
        <f>COUNTIF(#REF!,P25)</f>
        <v>#REF!</v>
      </c>
      <c r="C25" s="76" t="s">
        <v>5</v>
      </c>
      <c r="D25" s="327" t="e">
        <f>SUMIF(#REF!,P25,#REF!)</f>
        <v>#REF!</v>
      </c>
      <c r="E25" s="175" t="e">
        <f>COUNTIF(#REF!,"공국")</f>
        <v>#REF!</v>
      </c>
      <c r="F25" s="76" t="s">
        <v>5</v>
      </c>
      <c r="G25" s="327" t="e">
        <f>SUMIF(#REF!,Q25,#REF!)</f>
        <v>#REF!</v>
      </c>
      <c r="H25" s="175" t="e">
        <f>COUNTIF(#REF!,R25)</f>
        <v>#REF!</v>
      </c>
      <c r="I25" s="76" t="s">
        <v>5</v>
      </c>
      <c r="J25" s="327" t="e">
        <f>SUMIF(#REF!,R25,#REF!)</f>
        <v>#REF!</v>
      </c>
      <c r="K25" s="175" t="e">
        <f>COUNTIF(#REF!,S25)</f>
        <v>#REF!</v>
      </c>
      <c r="L25" s="76" t="s">
        <v>5</v>
      </c>
      <c r="M25" s="327" t="e">
        <f>SUMIF(#REF!,S25,#REF!)</f>
        <v>#REF!</v>
      </c>
      <c r="N25" s="166"/>
      <c r="O25" s="74" t="e">
        <f t="shared" si="0"/>
        <v>#REF!</v>
      </c>
      <c r="P25" s="74" t="s">
        <v>71</v>
      </c>
      <c r="Q25" s="183" t="str">
        <f t="shared" si="2"/>
        <v>공국</v>
      </c>
      <c r="R25" s="183" t="str">
        <f t="shared" si="2"/>
        <v>공공</v>
      </c>
      <c r="S25" s="183" t="str">
        <f t="shared" si="2"/>
        <v>공사</v>
      </c>
    </row>
    <row r="26" spans="1:19" s="143" customFormat="1" ht="23.1" customHeight="1">
      <c r="A26" s="180" t="s">
        <v>45</v>
      </c>
      <c r="B26" s="175" t="e">
        <f>COUNTIF(#REF!,P26)</f>
        <v>#REF!</v>
      </c>
      <c r="C26" s="76" t="s">
        <v>5</v>
      </c>
      <c r="D26" s="327" t="e">
        <f>SUMIF(#REF!,P26,#REF!)</f>
        <v>#REF!</v>
      </c>
      <c r="E26" s="175" t="e">
        <f>COUNTIF(#REF!,"체국")</f>
        <v>#REF!</v>
      </c>
      <c r="F26" s="76" t="s">
        <v>5</v>
      </c>
      <c r="G26" s="327" t="e">
        <f>SUMIF(#REF!,Q26,#REF!)</f>
        <v>#REF!</v>
      </c>
      <c r="H26" s="175" t="e">
        <f>COUNTIF(#REF!,R26)</f>
        <v>#REF!</v>
      </c>
      <c r="I26" s="76" t="s">
        <v>5</v>
      </c>
      <c r="J26" s="327" t="e">
        <f>SUMIF(#REF!,R26,#REF!)</f>
        <v>#REF!</v>
      </c>
      <c r="K26" s="175" t="e">
        <f>COUNTIF(#REF!,S26)</f>
        <v>#REF!</v>
      </c>
      <c r="L26" s="76" t="s">
        <v>5</v>
      </c>
      <c r="M26" s="327" t="e">
        <f>SUMIF(#REF!,S26,#REF!)</f>
        <v>#REF!</v>
      </c>
      <c r="N26" s="166"/>
      <c r="O26" s="74" t="e">
        <f t="shared" si="0"/>
        <v>#REF!</v>
      </c>
      <c r="P26" s="74" t="s">
        <v>93</v>
      </c>
      <c r="Q26" s="183" t="str">
        <f t="shared" si="2"/>
        <v>체국</v>
      </c>
      <c r="R26" s="183" t="str">
        <f t="shared" si="2"/>
        <v>체공</v>
      </c>
      <c r="S26" s="183" t="str">
        <f t="shared" si="2"/>
        <v>체사</v>
      </c>
    </row>
    <row r="27" spans="1:19" s="143" customFormat="1" ht="23.1" customHeight="1">
      <c r="A27" s="180" t="s">
        <v>60</v>
      </c>
      <c r="B27" s="175" t="e">
        <f>COUNTIF(#REF!,P27)</f>
        <v>#REF!</v>
      </c>
      <c r="C27" s="76" t="s">
        <v>5</v>
      </c>
      <c r="D27" s="327" t="e">
        <f>SUMIF(#REF!,P27,#REF!)</f>
        <v>#REF!</v>
      </c>
      <c r="E27" s="175" t="e">
        <f>COUNTIF(#REF!,"차국")</f>
        <v>#REF!</v>
      </c>
      <c r="F27" s="76" t="s">
        <v>5</v>
      </c>
      <c r="G27" s="327" t="e">
        <f>SUMIF(#REF!,Q27,#REF!)</f>
        <v>#REF!</v>
      </c>
      <c r="H27" s="175" t="e">
        <f>COUNTIF(#REF!,R27)</f>
        <v>#REF!</v>
      </c>
      <c r="I27" s="76" t="s">
        <v>5</v>
      </c>
      <c r="J27" s="327" t="e">
        <f>SUMIF(#REF!,R27,#REF!)</f>
        <v>#REF!</v>
      </c>
      <c r="K27" s="175" t="e">
        <f>COUNTIF(#REF!,S27)</f>
        <v>#REF!</v>
      </c>
      <c r="L27" s="76" t="s">
        <v>5</v>
      </c>
      <c r="M27" s="327" t="e">
        <f>SUMIF(#REF!,S27,#REF!)</f>
        <v>#REF!</v>
      </c>
      <c r="N27" s="166"/>
      <c r="O27" s="74" t="e">
        <f t="shared" si="0"/>
        <v>#REF!</v>
      </c>
      <c r="P27" s="74" t="s">
        <v>96</v>
      </c>
      <c r="Q27" s="183" t="str">
        <f t="shared" si="2"/>
        <v>차국</v>
      </c>
      <c r="R27" s="183" t="str">
        <f t="shared" si="2"/>
        <v>차공</v>
      </c>
      <c r="S27" s="183" t="str">
        <f t="shared" si="2"/>
        <v>차사</v>
      </c>
    </row>
    <row r="28" spans="1:19" s="143" customFormat="1" ht="23.1" customHeight="1">
      <c r="A28" s="180" t="s">
        <v>56</v>
      </c>
      <c r="B28" s="175" t="e">
        <f>COUNTIF(#REF!,P28)</f>
        <v>#REF!</v>
      </c>
      <c r="C28" s="76" t="s">
        <v>5</v>
      </c>
      <c r="D28" s="327" t="e">
        <f>SUMIF(#REF!,P28,#REF!)</f>
        <v>#REF!</v>
      </c>
      <c r="E28" s="175" t="e">
        <f>COUNTIF(#REF!,"주국")</f>
        <v>#REF!</v>
      </c>
      <c r="F28" s="76" t="s">
        <v>5</v>
      </c>
      <c r="G28" s="327" t="e">
        <f>SUMIF(#REF!,Q28,#REF!)</f>
        <v>#REF!</v>
      </c>
      <c r="H28" s="175" t="e">
        <f>COUNTIF(#REF!,R28)</f>
        <v>#REF!</v>
      </c>
      <c r="I28" s="76" t="s">
        <v>5</v>
      </c>
      <c r="J28" s="327" t="e">
        <f>SUMIF(#REF!,R28,#REF!)</f>
        <v>#REF!</v>
      </c>
      <c r="K28" s="175" t="e">
        <f>COUNTIF(#REF!,S28)</f>
        <v>#REF!</v>
      </c>
      <c r="L28" s="76" t="s">
        <v>5</v>
      </c>
      <c r="M28" s="327" t="e">
        <f>SUMIF(#REF!,S28,#REF!)</f>
        <v>#REF!</v>
      </c>
      <c r="N28" s="166"/>
      <c r="O28" s="74" t="e">
        <f t="shared" si="0"/>
        <v>#REF!</v>
      </c>
      <c r="P28" s="74" t="s">
        <v>94</v>
      </c>
      <c r="Q28" s="183" t="str">
        <f t="shared" si="2"/>
        <v>주국</v>
      </c>
      <c r="R28" s="183" t="str">
        <f t="shared" si="2"/>
        <v>주공</v>
      </c>
      <c r="S28" s="183" t="str">
        <f t="shared" si="2"/>
        <v>주사</v>
      </c>
    </row>
    <row r="29" spans="1:19" s="143" customFormat="1" ht="23.1" customHeight="1">
      <c r="A29" s="180" t="s">
        <v>57</v>
      </c>
      <c r="B29" s="175" t="e">
        <f>COUNTIF(#REF!,P29)</f>
        <v>#REF!</v>
      </c>
      <c r="C29" s="76" t="s">
        <v>5</v>
      </c>
      <c r="D29" s="327" t="e">
        <f>SUMIF(#REF!,P29,#REF!)</f>
        <v>#REF!</v>
      </c>
      <c r="E29" s="175" t="e">
        <f>COUNTIF(#REF!,"창국")</f>
        <v>#REF!</v>
      </c>
      <c r="F29" s="76" t="s">
        <v>5</v>
      </c>
      <c r="G29" s="327" t="e">
        <f>SUMIF(#REF!,Q29,#REF!)</f>
        <v>#REF!</v>
      </c>
      <c r="H29" s="175" t="e">
        <f>COUNTIF(#REF!,R29)</f>
        <v>#REF!</v>
      </c>
      <c r="I29" s="76" t="s">
        <v>5</v>
      </c>
      <c r="J29" s="327" t="e">
        <f>SUMIF(#REF!,R29,#REF!)</f>
        <v>#REF!</v>
      </c>
      <c r="K29" s="175" t="e">
        <f>COUNTIF(#REF!,S29)</f>
        <v>#REF!</v>
      </c>
      <c r="L29" s="76" t="s">
        <v>5</v>
      </c>
      <c r="M29" s="327" t="e">
        <f>SUMIF(#REF!,S29,#REF!)</f>
        <v>#REF!</v>
      </c>
      <c r="N29" s="166"/>
      <c r="O29" s="74" t="e">
        <f t="shared" si="0"/>
        <v>#REF!</v>
      </c>
      <c r="P29" s="74" t="s">
        <v>95</v>
      </c>
      <c r="Q29" s="183" t="str">
        <f t="shared" si="2"/>
        <v>창국</v>
      </c>
      <c r="R29" s="183" t="str">
        <f t="shared" si="2"/>
        <v>창공</v>
      </c>
      <c r="S29" s="183" t="str">
        <f t="shared" si="2"/>
        <v>창사</v>
      </c>
    </row>
    <row r="30" spans="1:19" s="143" customFormat="1" ht="23.1" customHeight="1">
      <c r="A30" s="182" t="s">
        <v>24</v>
      </c>
      <c r="B30" s="177" t="e">
        <f>COUNTIF(#REF!,P30)</f>
        <v>#REF!</v>
      </c>
      <c r="C30" s="81" t="s">
        <v>5</v>
      </c>
      <c r="D30" s="327" t="e">
        <f>SUMIF(#REF!,P30,#REF!)</f>
        <v>#REF!</v>
      </c>
      <c r="E30" s="177" t="e">
        <f>COUNTIF(#REF!,"가국")</f>
        <v>#REF!</v>
      </c>
      <c r="F30" s="81" t="s">
        <v>5</v>
      </c>
      <c r="G30" s="327" t="e">
        <f>SUMIF(#REF!,Q30,#REF!)</f>
        <v>#REF!</v>
      </c>
      <c r="H30" s="177" t="e">
        <f>COUNTIF(#REF!,R30)</f>
        <v>#REF!</v>
      </c>
      <c r="I30" s="81" t="s">
        <v>5</v>
      </c>
      <c r="J30" s="327" t="e">
        <f>SUMIF(#REF!,R30,#REF!)</f>
        <v>#REF!</v>
      </c>
      <c r="K30" s="177" t="e">
        <f>COUNTIF(#REF!,S30)</f>
        <v>#REF!</v>
      </c>
      <c r="L30" s="81" t="s">
        <v>5</v>
      </c>
      <c r="M30" s="327" t="e">
        <f>SUMIF(#REF!,S30,#REF!)</f>
        <v>#REF!</v>
      </c>
      <c r="N30" s="167"/>
      <c r="O30" s="74" t="e">
        <f t="shared" si="0"/>
        <v>#REF!</v>
      </c>
      <c r="P30" s="74" t="s">
        <v>97</v>
      </c>
      <c r="Q30" s="183" t="str">
        <f t="shared" si="2"/>
        <v>가국</v>
      </c>
      <c r="R30" s="183" t="str">
        <f t="shared" si="2"/>
        <v>가공</v>
      </c>
      <c r="S30" s="183" t="str">
        <f t="shared" si="2"/>
        <v>가사</v>
      </c>
    </row>
  </sheetData>
  <mergeCells count="2">
    <mergeCell ref="A3:A4"/>
    <mergeCell ref="N3:N4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30"/>
  <sheetViews>
    <sheetView showGridLines="0" showZeros="0" view="pageBreakPreview" workbookViewId="0">
      <selection activeCell="J27" sqref="J27"/>
    </sheetView>
  </sheetViews>
  <sheetFormatPr defaultRowHeight="12"/>
  <cols>
    <col min="1" max="1" width="7.88671875" style="140" customWidth="1"/>
    <col min="2" max="2" width="6.77734375" style="95" customWidth="1"/>
    <col min="3" max="3" width="1.33203125" style="95" customWidth="1"/>
    <col min="4" max="4" width="7.77734375" style="95" customWidth="1"/>
    <col min="5" max="5" width="6.77734375" style="95" customWidth="1"/>
    <col min="6" max="6" width="1.33203125" style="95" customWidth="1"/>
    <col min="7" max="7" width="7.77734375" style="95" customWidth="1"/>
    <col min="8" max="8" width="6.77734375" style="95" customWidth="1"/>
    <col min="9" max="9" width="1.33203125" style="95" customWidth="1"/>
    <col min="10" max="10" width="7.77734375" style="95" customWidth="1"/>
    <col min="11" max="11" width="6.77734375" style="95" customWidth="1"/>
    <col min="12" max="12" width="1.33203125" style="95" customWidth="1"/>
    <col min="13" max="14" width="7.77734375" style="95" customWidth="1"/>
    <col min="15" max="16" width="8.33203125" style="184" customWidth="1"/>
    <col min="17" max="19" width="8.88671875" style="184"/>
    <col min="20" max="16384" width="8.88671875" style="95"/>
  </cols>
  <sheetData>
    <row r="1" spans="1:19" s="139" customFormat="1" ht="30" customHeight="1">
      <c r="A1" s="163" t="s">
        <v>347</v>
      </c>
      <c r="B1" s="96"/>
      <c r="C1" s="96"/>
      <c r="D1" s="94"/>
      <c r="E1" s="94"/>
      <c r="F1" s="96"/>
      <c r="G1" s="96"/>
      <c r="H1" s="94"/>
      <c r="I1" s="96"/>
      <c r="J1" s="96"/>
      <c r="K1" s="96"/>
      <c r="L1" s="96"/>
      <c r="M1" s="96"/>
      <c r="N1" s="96"/>
      <c r="O1" s="74"/>
      <c r="P1" s="74"/>
      <c r="Q1" s="74"/>
      <c r="R1" s="74"/>
      <c r="S1" s="74"/>
    </row>
    <row r="2" spans="1:19" s="142" customFormat="1" ht="15.95" customHeight="1">
      <c r="A2" s="140"/>
      <c r="B2" s="95"/>
      <c r="C2" s="95"/>
      <c r="D2" s="95"/>
      <c r="E2" s="95"/>
      <c r="F2" s="95"/>
      <c r="G2" s="95"/>
      <c r="H2" s="95"/>
      <c r="I2" s="95"/>
      <c r="J2" s="95"/>
      <c r="L2" s="141"/>
      <c r="N2" s="164" t="s">
        <v>334</v>
      </c>
      <c r="O2" s="74"/>
      <c r="P2" s="74"/>
      <c r="Q2" s="74"/>
      <c r="R2" s="74"/>
      <c r="S2" s="74"/>
    </row>
    <row r="3" spans="1:19" s="143" customFormat="1" ht="27.95" customHeight="1">
      <c r="A3" s="488" t="s">
        <v>2</v>
      </c>
      <c r="B3" s="165" t="s">
        <v>3</v>
      </c>
      <c r="C3" s="165"/>
      <c r="D3" s="165"/>
      <c r="E3" s="165" t="s">
        <v>80</v>
      </c>
      <c r="F3" s="165"/>
      <c r="G3" s="165"/>
      <c r="H3" s="165" t="s">
        <v>81</v>
      </c>
      <c r="I3" s="165"/>
      <c r="J3" s="165"/>
      <c r="K3" s="165" t="s">
        <v>82</v>
      </c>
      <c r="L3" s="165"/>
      <c r="M3" s="165"/>
      <c r="N3" s="490" t="s">
        <v>22</v>
      </c>
      <c r="O3" s="74"/>
      <c r="P3" s="74"/>
      <c r="Q3" s="74"/>
      <c r="R3" s="74"/>
      <c r="S3" s="74"/>
    </row>
    <row r="4" spans="1:19" s="143" customFormat="1" ht="27.95" customHeight="1">
      <c r="A4" s="489"/>
      <c r="B4" s="169" t="s">
        <v>78</v>
      </c>
      <c r="C4" s="170" t="s">
        <v>5</v>
      </c>
      <c r="D4" s="171" t="s">
        <v>105</v>
      </c>
      <c r="E4" s="169" t="s">
        <v>4</v>
      </c>
      <c r="F4" s="170" t="s">
        <v>5</v>
      </c>
      <c r="G4" s="171" t="s">
        <v>105</v>
      </c>
      <c r="H4" s="169" t="s">
        <v>4</v>
      </c>
      <c r="I4" s="170" t="s">
        <v>5</v>
      </c>
      <c r="J4" s="171" t="s">
        <v>105</v>
      </c>
      <c r="K4" s="169" t="s">
        <v>4</v>
      </c>
      <c r="L4" s="170" t="s">
        <v>5</v>
      </c>
      <c r="M4" s="171" t="s">
        <v>105</v>
      </c>
      <c r="N4" s="491"/>
      <c r="O4" s="74"/>
      <c r="P4" s="74"/>
      <c r="Q4" s="74"/>
      <c r="R4" s="74"/>
      <c r="S4" s="74"/>
    </row>
    <row r="5" spans="1:19" s="143" customFormat="1" ht="23.1" customHeight="1">
      <c r="A5" s="179" t="s">
        <v>3</v>
      </c>
      <c r="B5" s="172" t="e">
        <f>SUM(B6:B30)</f>
        <v>#REF!</v>
      </c>
      <c r="C5" s="173" t="s">
        <v>5</v>
      </c>
      <c r="D5" s="326" t="e">
        <f>SUM(D6:D30)</f>
        <v>#REF!</v>
      </c>
      <c r="E5" s="172" t="e">
        <f>SUM(E6:E30)</f>
        <v>#REF!</v>
      </c>
      <c r="F5" s="173" t="s">
        <v>5</v>
      </c>
      <c r="G5" s="326" t="e">
        <f>SUM(G6:G30)</f>
        <v>#REF!</v>
      </c>
      <c r="H5" s="172" t="e">
        <f>SUM(H6:H30)</f>
        <v>#REF!</v>
      </c>
      <c r="I5" s="173" t="s">
        <v>5</v>
      </c>
      <c r="J5" s="326" t="e">
        <f>SUM(J6:J30)</f>
        <v>#REF!</v>
      </c>
      <c r="K5" s="172" t="e">
        <f>SUM(K6:K30)</f>
        <v>#REF!</v>
      </c>
      <c r="L5" s="173" t="s">
        <v>5</v>
      </c>
      <c r="M5" s="326" t="e">
        <f>SUM(M6:M30)</f>
        <v>#REF!</v>
      </c>
      <c r="N5" s="168"/>
      <c r="O5" s="74" t="e">
        <f>IF(D5=(G5+J5+M5),"ok","false")</f>
        <v>#REF!</v>
      </c>
      <c r="P5" s="74"/>
      <c r="Q5" s="74" t="s">
        <v>70</v>
      </c>
      <c r="R5" s="74" t="s">
        <v>71</v>
      </c>
      <c r="S5" s="74" t="s">
        <v>98</v>
      </c>
    </row>
    <row r="6" spans="1:19" s="143" customFormat="1" ht="23.1" customHeight="1">
      <c r="A6" s="180" t="s">
        <v>7</v>
      </c>
      <c r="B6" s="175" t="e">
        <f>COUNTIF(#REF!,P6)</f>
        <v>#REF!</v>
      </c>
      <c r="C6" s="76" t="s">
        <v>5</v>
      </c>
      <c r="D6" s="327" t="e">
        <f>SUMIF(#REF!,P6,#REF!)</f>
        <v>#REF!</v>
      </c>
      <c r="E6" s="175" t="e">
        <f>COUNTIF(#REF!,Q6)</f>
        <v>#REF!</v>
      </c>
      <c r="F6" s="76" t="s">
        <v>5</v>
      </c>
      <c r="G6" s="327" t="e">
        <f>SUMIF(#REF!,Q6,#REF!)</f>
        <v>#REF!</v>
      </c>
      <c r="H6" s="175" t="e">
        <f>COUNTIF(#REF!,R6)</f>
        <v>#REF!</v>
      </c>
      <c r="I6" s="76" t="s">
        <v>5</v>
      </c>
      <c r="J6" s="327" t="e">
        <f>SUMIF(#REF!,R6,#REF!)</f>
        <v>#REF!</v>
      </c>
      <c r="K6" s="175" t="e">
        <f>COUNTIF(#REF!,S6)</f>
        <v>#REF!</v>
      </c>
      <c r="L6" s="76" t="s">
        <v>5</v>
      </c>
      <c r="M6" s="327" t="e">
        <f>SUMIF(#REF!,S6,#REF!)</f>
        <v>#REF!</v>
      </c>
      <c r="N6" s="166"/>
      <c r="O6" s="74" t="e">
        <f t="shared" ref="O6:O30" si="0">IF(D6=(G6+J6+M6),"ok","false")</f>
        <v>#REF!</v>
      </c>
      <c r="P6" s="74" t="s">
        <v>62</v>
      </c>
      <c r="Q6" s="183" t="str">
        <f>CONCATENATE($P6,Q$5)</f>
        <v>전국</v>
      </c>
      <c r="R6" s="183" t="str">
        <f t="shared" ref="R6:S21" si="1">CONCATENATE($P6,R$5)</f>
        <v>전공</v>
      </c>
      <c r="S6" s="183" t="str">
        <f t="shared" si="1"/>
        <v>전사</v>
      </c>
    </row>
    <row r="7" spans="1:19" s="143" customFormat="1" ht="23.1" customHeight="1">
      <c r="A7" s="180" t="s">
        <v>8</v>
      </c>
      <c r="B7" s="175" t="e">
        <f>COUNTIF(#REF!,P7)</f>
        <v>#REF!</v>
      </c>
      <c r="C7" s="76" t="s">
        <v>5</v>
      </c>
      <c r="D7" s="327" t="e">
        <f>SUMIF(#REF!,P7,#REF!)</f>
        <v>#REF!</v>
      </c>
      <c r="E7" s="175" t="e">
        <f>COUNTIF(#REF!,"답국")</f>
        <v>#REF!</v>
      </c>
      <c r="F7" s="76" t="s">
        <v>5</v>
      </c>
      <c r="G7" s="327" t="e">
        <f>SUMIF(#REF!,Q7,#REF!)</f>
        <v>#REF!</v>
      </c>
      <c r="H7" s="175" t="e">
        <f>COUNTIF(#REF!,R7)</f>
        <v>#REF!</v>
      </c>
      <c r="I7" s="76" t="s">
        <v>5</v>
      </c>
      <c r="J7" s="327" t="e">
        <f>SUMIF(#REF!,R7,#REF!)</f>
        <v>#REF!</v>
      </c>
      <c r="K7" s="175" t="e">
        <f>COUNTIF(#REF!,S7)</f>
        <v>#REF!</v>
      </c>
      <c r="L7" s="76" t="s">
        <v>5</v>
      </c>
      <c r="M7" s="327" t="e">
        <f>SUMIF(#REF!,S7,#REF!)</f>
        <v>#REF!</v>
      </c>
      <c r="N7" s="166"/>
      <c r="O7" s="74" t="e">
        <f t="shared" si="0"/>
        <v>#REF!</v>
      </c>
      <c r="P7" s="74" t="s">
        <v>67</v>
      </c>
      <c r="Q7" s="183" t="str">
        <f t="shared" ref="Q7:S30" si="2">CONCATENATE($P7,Q$5)</f>
        <v>답국</v>
      </c>
      <c r="R7" s="183" t="str">
        <f t="shared" si="1"/>
        <v>답공</v>
      </c>
      <c r="S7" s="183" t="str">
        <f t="shared" si="1"/>
        <v>답사</v>
      </c>
    </row>
    <row r="8" spans="1:19" s="143" customFormat="1" ht="23.1" customHeight="1">
      <c r="A8" s="181" t="s">
        <v>9</v>
      </c>
      <c r="B8" s="175" t="e">
        <f>COUNTIF(#REF!,P8)</f>
        <v>#REF!</v>
      </c>
      <c r="C8" s="76" t="s">
        <v>5</v>
      </c>
      <c r="D8" s="327" t="e">
        <f>SUMIF(#REF!,P8,#REF!)</f>
        <v>#REF!</v>
      </c>
      <c r="E8" s="175" t="e">
        <f>COUNTIF(#REF!,"임국")</f>
        <v>#REF!</v>
      </c>
      <c r="F8" s="76" t="s">
        <v>5</v>
      </c>
      <c r="G8" s="327" t="e">
        <f>SUMIF(#REF!,Q8,#REF!)</f>
        <v>#REF!</v>
      </c>
      <c r="H8" s="175" t="e">
        <f>COUNTIF(#REF!,R8)</f>
        <v>#REF!</v>
      </c>
      <c r="I8" s="76" t="s">
        <v>5</v>
      </c>
      <c r="J8" s="327" t="e">
        <f>SUMIF(#REF!,R8,#REF!)</f>
        <v>#REF!</v>
      </c>
      <c r="K8" s="175" t="e">
        <f>COUNTIF(#REF!,S8)</f>
        <v>#REF!</v>
      </c>
      <c r="L8" s="76" t="s">
        <v>5</v>
      </c>
      <c r="M8" s="327" t="e">
        <f>SUMIF(#REF!,S8,#REF!)</f>
        <v>#REF!</v>
      </c>
      <c r="N8" s="166"/>
      <c r="O8" s="74" t="e">
        <f t="shared" si="0"/>
        <v>#REF!</v>
      </c>
      <c r="P8" s="74" t="s">
        <v>64</v>
      </c>
      <c r="Q8" s="183" t="str">
        <f t="shared" si="2"/>
        <v>임국</v>
      </c>
      <c r="R8" s="183" t="str">
        <f t="shared" si="1"/>
        <v>임공</v>
      </c>
      <c r="S8" s="183" t="str">
        <f t="shared" si="1"/>
        <v>임사</v>
      </c>
    </row>
    <row r="9" spans="1:19" s="143" customFormat="1" ht="23.1" customHeight="1">
      <c r="A9" s="180" t="s">
        <v>10</v>
      </c>
      <c r="B9" s="175" t="e">
        <f>COUNTIF(#REF!,P9)</f>
        <v>#REF!</v>
      </c>
      <c r="C9" s="76" t="s">
        <v>5</v>
      </c>
      <c r="D9" s="327" t="e">
        <f>SUMIF(#REF!,P9,#REF!)</f>
        <v>#REF!</v>
      </c>
      <c r="E9" s="175" t="e">
        <f>COUNTIF(#REF!,"대국")</f>
        <v>#REF!</v>
      </c>
      <c r="F9" s="76" t="s">
        <v>5</v>
      </c>
      <c r="G9" s="327" t="e">
        <f>SUMIF(#REF!,Q9,#REF!)</f>
        <v>#REF!</v>
      </c>
      <c r="H9" s="175" t="e">
        <f>COUNTIF(#REF!,R9)</f>
        <v>#REF!</v>
      </c>
      <c r="I9" s="76" t="s">
        <v>5</v>
      </c>
      <c r="J9" s="327" t="e">
        <f>SUMIF(#REF!,R9,#REF!)</f>
        <v>#REF!</v>
      </c>
      <c r="K9" s="175" t="e">
        <f>COUNTIF(#REF!,S9)</f>
        <v>#REF!</v>
      </c>
      <c r="L9" s="76" t="s">
        <v>5</v>
      </c>
      <c r="M9" s="327" t="e">
        <f>SUMIF(#REF!,S9,#REF!)</f>
        <v>#REF!</v>
      </c>
      <c r="N9" s="166"/>
      <c r="O9" s="74" t="e">
        <f t="shared" si="0"/>
        <v>#REF!</v>
      </c>
      <c r="P9" s="74" t="s">
        <v>61</v>
      </c>
      <c r="Q9" s="183" t="str">
        <f t="shared" si="2"/>
        <v>대국</v>
      </c>
      <c r="R9" s="183" t="str">
        <f t="shared" si="1"/>
        <v>대공</v>
      </c>
      <c r="S9" s="183" t="str">
        <f t="shared" si="1"/>
        <v>대사</v>
      </c>
    </row>
    <row r="10" spans="1:19" s="143" customFormat="1" ht="23.1" customHeight="1">
      <c r="A10" s="180" t="s">
        <v>11</v>
      </c>
      <c r="B10" s="175" t="e">
        <f>COUNTIF(#REF!,P10)</f>
        <v>#REF!</v>
      </c>
      <c r="C10" s="76" t="s">
        <v>5</v>
      </c>
      <c r="D10" s="327" t="e">
        <f>SUMIF(#REF!,P10,#REF!)</f>
        <v>#REF!</v>
      </c>
      <c r="E10" s="175" t="e">
        <f>COUNTIF(#REF!,"도국")</f>
        <v>#REF!</v>
      </c>
      <c r="F10" s="76" t="s">
        <v>5</v>
      </c>
      <c r="G10" s="327" t="e">
        <f>SUMIF(#REF!,Q10,#REF!)</f>
        <v>#REF!</v>
      </c>
      <c r="H10" s="175" t="e">
        <f>COUNTIF(#REF!,R10)</f>
        <v>#REF!</v>
      </c>
      <c r="I10" s="76" t="s">
        <v>5</v>
      </c>
      <c r="J10" s="327" t="e">
        <f>SUMIF(#REF!,R10,#REF!)</f>
        <v>#REF!</v>
      </c>
      <c r="K10" s="175" t="e">
        <f>COUNTIF(#REF!,S10)</f>
        <v>#REF!</v>
      </c>
      <c r="L10" s="76" t="s">
        <v>5</v>
      </c>
      <c r="M10" s="327" t="e">
        <f>SUMIF(#REF!,S10,#REF!)</f>
        <v>#REF!</v>
      </c>
      <c r="N10" s="166"/>
      <c r="O10" s="74" t="e">
        <f t="shared" si="0"/>
        <v>#REF!</v>
      </c>
      <c r="P10" s="74" t="s">
        <v>63</v>
      </c>
      <c r="Q10" s="183" t="str">
        <f t="shared" si="2"/>
        <v>도국</v>
      </c>
      <c r="R10" s="183" t="str">
        <f t="shared" si="1"/>
        <v>도공</v>
      </c>
      <c r="S10" s="183" t="str">
        <f t="shared" si="1"/>
        <v>도사</v>
      </c>
    </row>
    <row r="11" spans="1:19" s="143" customFormat="1" ht="23.1" customHeight="1">
      <c r="A11" s="180" t="s">
        <v>13</v>
      </c>
      <c r="B11" s="175" t="e">
        <f>COUNTIF(#REF!,P11)</f>
        <v>#REF!</v>
      </c>
      <c r="C11" s="76" t="s">
        <v>5</v>
      </c>
      <c r="D11" s="327" t="e">
        <f>SUMIF(#REF!,P11,#REF!)</f>
        <v>#REF!</v>
      </c>
      <c r="E11" s="175" t="e">
        <f>COUNTIF(#REF!,"구국")</f>
        <v>#REF!</v>
      </c>
      <c r="F11" s="76" t="s">
        <v>5</v>
      </c>
      <c r="G11" s="327" t="e">
        <f>SUMIF(#REF!,Q11,#REF!)</f>
        <v>#REF!</v>
      </c>
      <c r="H11" s="175" t="e">
        <f>COUNTIF(#REF!,R11)</f>
        <v>#REF!</v>
      </c>
      <c r="I11" s="76" t="s">
        <v>5</v>
      </c>
      <c r="J11" s="327" t="e">
        <f>SUMIF(#REF!,R11,#REF!)</f>
        <v>#REF!</v>
      </c>
      <c r="K11" s="175" t="e">
        <f>COUNTIF(#REF!,S11)</f>
        <v>#REF!</v>
      </c>
      <c r="L11" s="76" t="s">
        <v>5</v>
      </c>
      <c r="M11" s="327" t="e">
        <f>SUMIF(#REF!,S11,#REF!)</f>
        <v>#REF!</v>
      </c>
      <c r="N11" s="166"/>
      <c r="O11" s="74" t="e">
        <f t="shared" si="0"/>
        <v>#REF!</v>
      </c>
      <c r="P11" s="74" t="s">
        <v>69</v>
      </c>
      <c r="Q11" s="183" t="str">
        <f t="shared" si="2"/>
        <v>구국</v>
      </c>
      <c r="R11" s="183" t="str">
        <f t="shared" si="1"/>
        <v>구공</v>
      </c>
      <c r="S11" s="183" t="str">
        <f t="shared" si="1"/>
        <v>구사</v>
      </c>
    </row>
    <row r="12" spans="1:19" s="143" customFormat="1" ht="23.1" customHeight="1">
      <c r="A12" s="180" t="s">
        <v>12</v>
      </c>
      <c r="B12" s="175" t="e">
        <f>COUNTIF(#REF!,P12)</f>
        <v>#REF!</v>
      </c>
      <c r="C12" s="76" t="s">
        <v>5</v>
      </c>
      <c r="D12" s="327" t="e">
        <f>SUMIF(#REF!,P12,#REF!)</f>
        <v>#REF!</v>
      </c>
      <c r="E12" s="175" t="e">
        <f>COUNTIF(#REF!,"천국")</f>
        <v>#REF!</v>
      </c>
      <c r="F12" s="76" t="s">
        <v>5</v>
      </c>
      <c r="G12" s="327" t="e">
        <f>SUMIF(#REF!,Q12,#REF!)</f>
        <v>#REF!</v>
      </c>
      <c r="H12" s="175" t="e">
        <f>COUNTIF(#REF!,R12)</f>
        <v>#REF!</v>
      </c>
      <c r="I12" s="76" t="s">
        <v>5</v>
      </c>
      <c r="J12" s="327" t="e">
        <f>SUMIF(#REF!,R12,#REF!)</f>
        <v>#REF!</v>
      </c>
      <c r="K12" s="175" t="e">
        <f>COUNTIF(#REF!,S12)</f>
        <v>#REF!</v>
      </c>
      <c r="L12" s="76" t="s">
        <v>5</v>
      </c>
      <c r="M12" s="327" t="e">
        <f>SUMIF(#REF!,S12,#REF!)</f>
        <v>#REF!</v>
      </c>
      <c r="N12" s="166"/>
      <c r="O12" s="74" t="e">
        <f t="shared" si="0"/>
        <v>#REF!</v>
      </c>
      <c r="P12" s="74" t="s">
        <v>83</v>
      </c>
      <c r="Q12" s="183" t="str">
        <f t="shared" si="2"/>
        <v>천국</v>
      </c>
      <c r="R12" s="183" t="str">
        <f t="shared" si="1"/>
        <v>천공</v>
      </c>
      <c r="S12" s="183" t="str">
        <f t="shared" si="1"/>
        <v>천사</v>
      </c>
    </row>
    <row r="13" spans="1:19" s="143" customFormat="1" ht="23.1" customHeight="1">
      <c r="A13" s="180" t="s">
        <v>15</v>
      </c>
      <c r="B13" s="175" t="e">
        <f>COUNTIF(#REF!,P13)</f>
        <v>#REF!</v>
      </c>
      <c r="C13" s="76" t="s">
        <v>5</v>
      </c>
      <c r="D13" s="327" t="e">
        <f>SUMIF(#REF!,P13,#REF!)</f>
        <v>#REF!</v>
      </c>
      <c r="E13" s="175" t="e">
        <f>COUNTIF(#REF!,"유국")</f>
        <v>#REF!</v>
      </c>
      <c r="F13" s="76" t="s">
        <v>5</v>
      </c>
      <c r="G13" s="327" t="e">
        <f>SUMIF(#REF!,Q13,#REF!)</f>
        <v>#REF!</v>
      </c>
      <c r="H13" s="175" t="e">
        <f>COUNTIF(#REF!,R13)</f>
        <v>#REF!</v>
      </c>
      <c r="I13" s="76" t="s">
        <v>5</v>
      </c>
      <c r="J13" s="327" t="e">
        <f>SUMIF(#REF!,R13,#REF!)</f>
        <v>#REF!</v>
      </c>
      <c r="K13" s="175" t="e">
        <f>COUNTIF(#REF!,S13)</f>
        <v>#REF!</v>
      </c>
      <c r="L13" s="76" t="s">
        <v>5</v>
      </c>
      <c r="M13" s="327" t="e">
        <f>SUMIF(#REF!,S13,#REF!)</f>
        <v>#REF!</v>
      </c>
      <c r="N13" s="166"/>
      <c r="O13" s="74" t="e">
        <f t="shared" si="0"/>
        <v>#REF!</v>
      </c>
      <c r="P13" s="74" t="s">
        <v>84</v>
      </c>
      <c r="Q13" s="183" t="str">
        <f t="shared" si="2"/>
        <v>유국</v>
      </c>
      <c r="R13" s="183" t="str">
        <f t="shared" si="1"/>
        <v>유공</v>
      </c>
      <c r="S13" s="183" t="str">
        <f t="shared" si="1"/>
        <v>유사</v>
      </c>
    </row>
    <row r="14" spans="1:19" s="143" customFormat="1" ht="23.1" customHeight="1">
      <c r="A14" s="180" t="s">
        <v>14</v>
      </c>
      <c r="B14" s="175" t="e">
        <f>COUNTIF(#REF!,P14)</f>
        <v>#REF!</v>
      </c>
      <c r="C14" s="76" t="s">
        <v>5</v>
      </c>
      <c r="D14" s="327" t="e">
        <f>SUMIF(#REF!,P14,#REF!)</f>
        <v>#REF!</v>
      </c>
      <c r="E14" s="175" t="e">
        <f>COUNTIF(#REF!,"제국")</f>
        <v>#REF!</v>
      </c>
      <c r="F14" s="76" t="s">
        <v>5</v>
      </c>
      <c r="G14" s="327" t="e">
        <f>SUMIF(#REF!,Q14,#REF!)</f>
        <v>#REF!</v>
      </c>
      <c r="H14" s="175" t="e">
        <f>COUNTIF(#REF!,R14)</f>
        <v>#REF!</v>
      </c>
      <c r="I14" s="76" t="s">
        <v>5</v>
      </c>
      <c r="J14" s="327" t="e">
        <f>SUMIF(#REF!,R14,#REF!)</f>
        <v>#REF!</v>
      </c>
      <c r="K14" s="175" t="e">
        <f>COUNTIF(#REF!,S14)</f>
        <v>#REF!</v>
      </c>
      <c r="L14" s="76" t="s">
        <v>5</v>
      </c>
      <c r="M14" s="327" t="e">
        <f>SUMIF(#REF!,S14,#REF!)</f>
        <v>#REF!</v>
      </c>
      <c r="N14" s="166"/>
      <c r="O14" s="74" t="e">
        <f t="shared" si="0"/>
        <v>#REF!</v>
      </c>
      <c r="P14" s="74" t="s">
        <v>85</v>
      </c>
      <c r="Q14" s="183" t="str">
        <f t="shared" si="2"/>
        <v>제국</v>
      </c>
      <c r="R14" s="183" t="str">
        <f t="shared" si="1"/>
        <v>제공</v>
      </c>
      <c r="S14" s="183" t="str">
        <f t="shared" si="1"/>
        <v>제사</v>
      </c>
    </row>
    <row r="15" spans="1:19" s="143" customFormat="1" ht="23.1" customHeight="1">
      <c r="A15" s="180" t="s">
        <v>16</v>
      </c>
      <c r="B15" s="175" t="e">
        <f>COUNTIF(#REF!,P15)</f>
        <v>#REF!</v>
      </c>
      <c r="C15" s="76" t="s">
        <v>5</v>
      </c>
      <c r="D15" s="327" t="e">
        <f>SUMIF(#REF!,P15,#REF!)</f>
        <v>#REF!</v>
      </c>
      <c r="E15" s="175" t="e">
        <f>COUNTIF(#REF!,"과국")</f>
        <v>#REF!</v>
      </c>
      <c r="F15" s="76" t="s">
        <v>5</v>
      </c>
      <c r="G15" s="327" t="e">
        <f>SUMIF(#REF!,Q15,#REF!)</f>
        <v>#REF!</v>
      </c>
      <c r="H15" s="175" t="e">
        <f>COUNTIF(#REF!,R15)</f>
        <v>#REF!</v>
      </c>
      <c r="I15" s="76" t="s">
        <v>5</v>
      </c>
      <c r="J15" s="327" t="e">
        <f>SUMIF(#REF!,R15,#REF!)</f>
        <v>#REF!</v>
      </c>
      <c r="K15" s="175" t="e">
        <f>COUNTIF(#REF!,S15)</f>
        <v>#REF!</v>
      </c>
      <c r="L15" s="76" t="s">
        <v>5</v>
      </c>
      <c r="M15" s="327" t="e">
        <f>SUMIF(#REF!,S15,#REF!)</f>
        <v>#REF!</v>
      </c>
      <c r="N15" s="166"/>
      <c r="O15" s="74" t="e">
        <f t="shared" si="0"/>
        <v>#REF!</v>
      </c>
      <c r="P15" s="74" t="s">
        <v>86</v>
      </c>
      <c r="Q15" s="183" t="str">
        <f t="shared" si="2"/>
        <v>과국</v>
      </c>
      <c r="R15" s="183" t="str">
        <f t="shared" si="1"/>
        <v>과공</v>
      </c>
      <c r="S15" s="183" t="str">
        <f t="shared" si="1"/>
        <v>과사</v>
      </c>
    </row>
    <row r="16" spans="1:19" s="143" customFormat="1" ht="23.1" customHeight="1">
      <c r="A16" s="180" t="s">
        <v>21</v>
      </c>
      <c r="B16" s="175" t="e">
        <f>COUNTIF(#REF!,P16)</f>
        <v>#REF!</v>
      </c>
      <c r="C16" s="76" t="s">
        <v>5</v>
      </c>
      <c r="D16" s="327" t="e">
        <f>SUMIF(#REF!,P16,#REF!)</f>
        <v>#REF!</v>
      </c>
      <c r="E16" s="175" t="e">
        <f>COUNTIF(#REF!,"장국")</f>
        <v>#REF!</v>
      </c>
      <c r="F16" s="76" t="s">
        <v>5</v>
      </c>
      <c r="G16" s="327" t="e">
        <f>SUMIF(#REF!,Q16,#REF!)</f>
        <v>#REF!</v>
      </c>
      <c r="H16" s="175" t="e">
        <f>COUNTIF(#REF!,R16)</f>
        <v>#REF!</v>
      </c>
      <c r="I16" s="76" t="s">
        <v>5</v>
      </c>
      <c r="J16" s="327" t="e">
        <f>SUMIF(#REF!,R16,#REF!)</f>
        <v>#REF!</v>
      </c>
      <c r="K16" s="175" t="e">
        <f>COUNTIF(#REF!,S16)</f>
        <v>#REF!</v>
      </c>
      <c r="L16" s="76" t="s">
        <v>5</v>
      </c>
      <c r="M16" s="327" t="e">
        <f>SUMIF(#REF!,S16,#REF!)</f>
        <v>#REF!</v>
      </c>
      <c r="N16" s="166"/>
      <c r="O16" s="74" t="e">
        <f t="shared" si="0"/>
        <v>#REF!</v>
      </c>
      <c r="P16" s="74" t="s">
        <v>65</v>
      </c>
      <c r="Q16" s="183" t="str">
        <f t="shared" si="2"/>
        <v>장국</v>
      </c>
      <c r="R16" s="183" t="str">
        <f t="shared" si="1"/>
        <v>장공</v>
      </c>
      <c r="S16" s="183" t="str">
        <f t="shared" si="1"/>
        <v>장사</v>
      </c>
    </row>
    <row r="17" spans="1:19" s="143" customFormat="1" ht="23.1" customHeight="1">
      <c r="A17" s="180" t="s">
        <v>18</v>
      </c>
      <c r="B17" s="175" t="e">
        <f>COUNTIF(#REF!,P17)</f>
        <v>#REF!</v>
      </c>
      <c r="C17" s="76" t="s">
        <v>5</v>
      </c>
      <c r="D17" s="327" t="e">
        <f>SUMIF(#REF!,P17,#REF!)</f>
        <v>#REF!</v>
      </c>
      <c r="E17" s="175" t="e">
        <f>COUNTIF(#REF!,"목국")</f>
        <v>#REF!</v>
      </c>
      <c r="F17" s="76" t="s">
        <v>5</v>
      </c>
      <c r="G17" s="327" t="e">
        <f>SUMIF(#REF!,Q17,#REF!)</f>
        <v>#REF!</v>
      </c>
      <c r="H17" s="175" t="e">
        <f>COUNTIF(#REF!,R17)</f>
        <v>#REF!</v>
      </c>
      <c r="I17" s="76" t="s">
        <v>5</v>
      </c>
      <c r="J17" s="327" t="e">
        <f>SUMIF(#REF!,R17,#REF!)</f>
        <v>#REF!</v>
      </c>
      <c r="K17" s="175" t="e">
        <f>COUNTIF(#REF!,S17)</f>
        <v>#REF!</v>
      </c>
      <c r="L17" s="76" t="s">
        <v>5</v>
      </c>
      <c r="M17" s="327" t="e">
        <f>SUMIF(#REF!,S17,#REF!)</f>
        <v>#REF!</v>
      </c>
      <c r="N17" s="166"/>
      <c r="O17" s="74" t="e">
        <f t="shared" si="0"/>
        <v>#REF!</v>
      </c>
      <c r="P17" s="74" t="s">
        <v>66</v>
      </c>
      <c r="Q17" s="183" t="str">
        <f t="shared" si="2"/>
        <v>목국</v>
      </c>
      <c r="R17" s="183" t="str">
        <f t="shared" si="1"/>
        <v>목공</v>
      </c>
      <c r="S17" s="183" t="str">
        <f t="shared" si="1"/>
        <v>목사</v>
      </c>
    </row>
    <row r="18" spans="1:19" s="143" customFormat="1" ht="23.1" customHeight="1">
      <c r="A18" s="180" t="s">
        <v>23</v>
      </c>
      <c r="B18" s="175" t="e">
        <f>COUNTIF(#REF!,P18)</f>
        <v>#REF!</v>
      </c>
      <c r="C18" s="76" t="s">
        <v>5</v>
      </c>
      <c r="D18" s="327" t="e">
        <f>SUMIF(#REF!,P18,#REF!)</f>
        <v>#REF!</v>
      </c>
      <c r="E18" s="175" t="e">
        <f>COUNTIF(#REF!,"학국")</f>
        <v>#REF!</v>
      </c>
      <c r="F18" s="76" t="s">
        <v>5</v>
      </c>
      <c r="G18" s="327" t="e">
        <f>SUMIF(#REF!,Q18,#REF!)</f>
        <v>#REF!</v>
      </c>
      <c r="H18" s="175" t="e">
        <f>COUNTIF(#REF!,R18)</f>
        <v>#REF!</v>
      </c>
      <c r="I18" s="76" t="s">
        <v>5</v>
      </c>
      <c r="J18" s="327" t="e">
        <f>SUMIF(#REF!,R18,#REF!)</f>
        <v>#REF!</v>
      </c>
      <c r="K18" s="175" t="e">
        <f>COUNTIF(#REF!,S18)</f>
        <v>#REF!</v>
      </c>
      <c r="L18" s="76" t="s">
        <v>5</v>
      </c>
      <c r="M18" s="327" t="e">
        <f>SUMIF(#REF!,S18,#REF!)</f>
        <v>#REF!</v>
      </c>
      <c r="N18" s="166"/>
      <c r="O18" s="74" t="e">
        <f t="shared" si="0"/>
        <v>#REF!</v>
      </c>
      <c r="P18" s="74" t="s">
        <v>87</v>
      </c>
      <c r="Q18" s="183" t="str">
        <f t="shared" si="2"/>
        <v>학국</v>
      </c>
      <c r="R18" s="183" t="str">
        <f t="shared" si="1"/>
        <v>학공</v>
      </c>
      <c r="S18" s="183" t="str">
        <f t="shared" si="1"/>
        <v>학사</v>
      </c>
    </row>
    <row r="19" spans="1:19" s="143" customFormat="1" ht="23.1" customHeight="1">
      <c r="A19" s="180" t="s">
        <v>41</v>
      </c>
      <c r="B19" s="175" t="e">
        <f>COUNTIF(#REF!,P19)</f>
        <v>#REF!</v>
      </c>
      <c r="C19" s="76" t="s">
        <v>5</v>
      </c>
      <c r="D19" s="327" t="e">
        <f>SUMIF(#REF!,P19,#REF!)</f>
        <v>#REF!</v>
      </c>
      <c r="E19" s="175" t="e">
        <f>COUNTIF(#REF!,"철국")</f>
        <v>#REF!</v>
      </c>
      <c r="F19" s="76" t="s">
        <v>5</v>
      </c>
      <c r="G19" s="327" t="e">
        <f>SUMIF(#REF!,Q19,#REF!)</f>
        <v>#REF!</v>
      </c>
      <c r="H19" s="175" t="e">
        <f>COUNTIF(#REF!,R19)</f>
        <v>#REF!</v>
      </c>
      <c r="I19" s="76" t="s">
        <v>5</v>
      </c>
      <c r="J19" s="327" t="e">
        <f>SUMIF(#REF!,R19,#REF!)</f>
        <v>#REF!</v>
      </c>
      <c r="K19" s="175" t="e">
        <f>COUNTIF(#REF!,S19)</f>
        <v>#REF!</v>
      </c>
      <c r="L19" s="76" t="s">
        <v>5</v>
      </c>
      <c r="M19" s="327" t="e">
        <f>SUMIF(#REF!,S19,#REF!)</f>
        <v>#REF!</v>
      </c>
      <c r="N19" s="166"/>
      <c r="O19" s="74" t="e">
        <f t="shared" si="0"/>
        <v>#REF!</v>
      </c>
      <c r="P19" s="74" t="s">
        <v>88</v>
      </c>
      <c r="Q19" s="183" t="str">
        <f t="shared" si="2"/>
        <v>철국</v>
      </c>
      <c r="R19" s="183" t="str">
        <f t="shared" si="1"/>
        <v>철공</v>
      </c>
      <c r="S19" s="183" t="str">
        <f t="shared" si="1"/>
        <v>철사</v>
      </c>
    </row>
    <row r="20" spans="1:19" s="143" customFormat="1" ht="23.1" customHeight="1">
      <c r="A20" s="180" t="s">
        <v>17</v>
      </c>
      <c r="B20" s="175" t="e">
        <f>COUNTIF(#REF!,P20)</f>
        <v>#REF!</v>
      </c>
      <c r="C20" s="76" t="s">
        <v>5</v>
      </c>
      <c r="D20" s="327" t="e">
        <f>SUMIF(#REF!,P20,#REF!)</f>
        <v>#REF!</v>
      </c>
      <c r="E20" s="175" t="e">
        <f>COUNTIF(#REF!,"묘국")</f>
        <v>#REF!</v>
      </c>
      <c r="F20" s="76" t="s">
        <v>5</v>
      </c>
      <c r="G20" s="327" t="e">
        <f>SUMIF(#REF!,Q20,#REF!)</f>
        <v>#REF!</v>
      </c>
      <c r="H20" s="175" t="e">
        <f>COUNTIF(#REF!,R20)</f>
        <v>#REF!</v>
      </c>
      <c r="I20" s="76" t="s">
        <v>5</v>
      </c>
      <c r="J20" s="327" t="e">
        <f>SUMIF(#REF!,R20,#REF!)</f>
        <v>#REF!</v>
      </c>
      <c r="K20" s="175" t="e">
        <f>COUNTIF(#REF!,S20)</f>
        <v>#REF!</v>
      </c>
      <c r="L20" s="76" t="s">
        <v>5</v>
      </c>
      <c r="M20" s="327" t="e">
        <f>SUMIF(#REF!,S20,#REF!)</f>
        <v>#REF!</v>
      </c>
      <c r="N20" s="166"/>
      <c r="O20" s="74" t="e">
        <f t="shared" si="0"/>
        <v>#REF!</v>
      </c>
      <c r="P20" s="74" t="s">
        <v>68</v>
      </c>
      <c r="Q20" s="183" t="str">
        <f t="shared" si="2"/>
        <v>묘국</v>
      </c>
      <c r="R20" s="183" t="str">
        <f t="shared" si="1"/>
        <v>묘공</v>
      </c>
      <c r="S20" s="183" t="str">
        <f t="shared" si="1"/>
        <v>묘사</v>
      </c>
    </row>
    <row r="21" spans="1:19" s="143" customFormat="1" ht="23.1" customHeight="1">
      <c r="A21" s="180" t="s">
        <v>20</v>
      </c>
      <c r="B21" s="175" t="e">
        <f>COUNTIF(#REF!,P21)</f>
        <v>#REF!</v>
      </c>
      <c r="C21" s="76" t="s">
        <v>5</v>
      </c>
      <c r="D21" s="327" t="e">
        <f>SUMIF(#REF!,P21,#REF!)</f>
        <v>#REF!</v>
      </c>
      <c r="E21" s="175" t="e">
        <f>COUNTIF(#REF!,"수국")</f>
        <v>#REF!</v>
      </c>
      <c r="F21" s="76" t="s">
        <v>5</v>
      </c>
      <c r="G21" s="327" t="e">
        <f>SUMIF(#REF!,Q21,#REF!)</f>
        <v>#REF!</v>
      </c>
      <c r="H21" s="175" t="e">
        <f>COUNTIF(#REF!,R21)</f>
        <v>#REF!</v>
      </c>
      <c r="I21" s="76" t="s">
        <v>5</v>
      </c>
      <c r="J21" s="327" t="e">
        <f>SUMIF(#REF!,R21,#REF!)</f>
        <v>#REF!</v>
      </c>
      <c r="K21" s="175" t="e">
        <f>COUNTIF(#REF!,S21)</f>
        <v>#REF!</v>
      </c>
      <c r="L21" s="76" t="s">
        <v>5</v>
      </c>
      <c r="M21" s="327" t="e">
        <f>SUMIF(#REF!,S21,#REF!)</f>
        <v>#REF!</v>
      </c>
      <c r="N21" s="166"/>
      <c r="O21" s="74" t="e">
        <f t="shared" si="0"/>
        <v>#REF!</v>
      </c>
      <c r="P21" s="74" t="s">
        <v>89</v>
      </c>
      <c r="Q21" s="183" t="str">
        <f t="shared" si="2"/>
        <v>수국</v>
      </c>
      <c r="R21" s="183" t="str">
        <f t="shared" si="1"/>
        <v>수공</v>
      </c>
      <c r="S21" s="183" t="str">
        <f t="shared" si="1"/>
        <v>수사</v>
      </c>
    </row>
    <row r="22" spans="1:19" s="143" customFormat="1" ht="23.1" customHeight="1">
      <c r="A22" s="180" t="s">
        <v>19</v>
      </c>
      <c r="B22" s="175" t="e">
        <f>COUNTIF(#REF!,P22)</f>
        <v>#REF!</v>
      </c>
      <c r="C22" s="76" t="s">
        <v>5</v>
      </c>
      <c r="D22" s="327" t="e">
        <f>SUMIF(#REF!,P22,#REF!)</f>
        <v>#REF!</v>
      </c>
      <c r="E22" s="175" t="e">
        <f>COUNTIF(#REF!,"잡국")</f>
        <v>#REF!</v>
      </c>
      <c r="F22" s="76" t="s">
        <v>5</v>
      </c>
      <c r="G22" s="327" t="e">
        <f>SUMIF(#REF!,Q22,#REF!)</f>
        <v>#REF!</v>
      </c>
      <c r="H22" s="175" t="e">
        <f>COUNTIF(#REF!,R22)</f>
        <v>#REF!</v>
      </c>
      <c r="I22" s="76" t="s">
        <v>5</v>
      </c>
      <c r="J22" s="327" t="e">
        <f>SUMIF(#REF!,R22,#REF!)</f>
        <v>#REF!</v>
      </c>
      <c r="K22" s="175" t="e">
        <f>COUNTIF(#REF!,S22)</f>
        <v>#REF!</v>
      </c>
      <c r="L22" s="76" t="s">
        <v>5</v>
      </c>
      <c r="M22" s="327" t="e">
        <f>SUMIF(#REF!,S22,#REF!)</f>
        <v>#REF!</v>
      </c>
      <c r="N22" s="166"/>
      <c r="O22" s="74" t="e">
        <f t="shared" si="0"/>
        <v>#REF!</v>
      </c>
      <c r="P22" s="74" t="s">
        <v>90</v>
      </c>
      <c r="Q22" s="183" t="str">
        <f t="shared" si="2"/>
        <v>잡국</v>
      </c>
      <c r="R22" s="183" t="str">
        <f t="shared" si="2"/>
        <v>잡공</v>
      </c>
      <c r="S22" s="183" t="str">
        <f t="shared" si="2"/>
        <v>잡사</v>
      </c>
    </row>
    <row r="23" spans="1:19" s="143" customFormat="1" ht="23.1" customHeight="1">
      <c r="A23" s="180" t="s">
        <v>42</v>
      </c>
      <c r="B23" s="175" t="e">
        <f>COUNTIF(#REF!,P23)</f>
        <v>#REF!</v>
      </c>
      <c r="C23" s="76" t="s">
        <v>5</v>
      </c>
      <c r="D23" s="327" t="e">
        <f>SUMIF(#REF!,P23,#REF!)</f>
        <v>#REF!</v>
      </c>
      <c r="E23" s="175" t="e">
        <f>COUNTIF(#REF!,"종국")</f>
        <v>#REF!</v>
      </c>
      <c r="F23" s="76" t="s">
        <v>5</v>
      </c>
      <c r="G23" s="327" t="e">
        <f>SUMIF(#REF!,Q23,#REF!)</f>
        <v>#REF!</v>
      </c>
      <c r="H23" s="175" t="e">
        <f>COUNTIF(#REF!,R23)</f>
        <v>#REF!</v>
      </c>
      <c r="I23" s="76" t="s">
        <v>5</v>
      </c>
      <c r="J23" s="327" t="e">
        <f>SUMIF(#REF!,R23,#REF!)</f>
        <v>#REF!</v>
      </c>
      <c r="K23" s="175" t="e">
        <f>COUNTIF(#REF!,S23)</f>
        <v>#REF!</v>
      </c>
      <c r="L23" s="76" t="s">
        <v>5</v>
      </c>
      <c r="M23" s="327" t="e">
        <f>SUMIF(#REF!,S23,#REF!)</f>
        <v>#REF!</v>
      </c>
      <c r="N23" s="166"/>
      <c r="O23" s="74" t="e">
        <f t="shared" si="0"/>
        <v>#REF!</v>
      </c>
      <c r="P23" s="74" t="s">
        <v>91</v>
      </c>
      <c r="Q23" s="183" t="str">
        <f t="shared" si="2"/>
        <v>종국</v>
      </c>
      <c r="R23" s="183" t="str">
        <f t="shared" si="2"/>
        <v>종공</v>
      </c>
      <c r="S23" s="183" t="str">
        <f t="shared" si="2"/>
        <v>종사</v>
      </c>
    </row>
    <row r="24" spans="1:19" s="143" customFormat="1" ht="23.1" customHeight="1">
      <c r="A24" s="180" t="s">
        <v>43</v>
      </c>
      <c r="B24" s="175" t="e">
        <f>COUNTIF(#REF!,P24)</f>
        <v>#REF!</v>
      </c>
      <c r="C24" s="76" t="s">
        <v>5</v>
      </c>
      <c r="D24" s="327" t="e">
        <f>SUMIF(#REF!,P24,#REF!)</f>
        <v>#REF!</v>
      </c>
      <c r="E24" s="175" t="e">
        <f>COUNTIF(#REF!,"염국")</f>
        <v>#REF!</v>
      </c>
      <c r="F24" s="76" t="s">
        <v>5</v>
      </c>
      <c r="G24" s="327" t="e">
        <f>SUMIF(#REF!,Q24,#REF!)</f>
        <v>#REF!</v>
      </c>
      <c r="H24" s="175" t="e">
        <f>COUNTIF(#REF!,R24)</f>
        <v>#REF!</v>
      </c>
      <c r="I24" s="76" t="s">
        <v>5</v>
      </c>
      <c r="J24" s="327" t="e">
        <f>SUMIF(#REF!,R24,#REF!)</f>
        <v>#REF!</v>
      </c>
      <c r="K24" s="175" t="e">
        <f>COUNTIF(#REF!,S24)</f>
        <v>#REF!</v>
      </c>
      <c r="L24" s="76" t="s">
        <v>5</v>
      </c>
      <c r="M24" s="327" t="e">
        <f>SUMIF(#REF!,S24,#REF!)</f>
        <v>#REF!</v>
      </c>
      <c r="N24" s="166"/>
      <c r="O24" s="74" t="e">
        <f t="shared" si="0"/>
        <v>#REF!</v>
      </c>
      <c r="P24" s="74" t="s">
        <v>92</v>
      </c>
      <c r="Q24" s="183" t="str">
        <f t="shared" si="2"/>
        <v>염국</v>
      </c>
      <c r="R24" s="183" t="str">
        <f t="shared" si="2"/>
        <v>염공</v>
      </c>
      <c r="S24" s="183" t="str">
        <f t="shared" si="2"/>
        <v>염사</v>
      </c>
    </row>
    <row r="25" spans="1:19" s="143" customFormat="1" ht="23.1" customHeight="1">
      <c r="A25" s="180" t="s">
        <v>44</v>
      </c>
      <c r="B25" s="175" t="e">
        <f>COUNTIF(#REF!,P25)</f>
        <v>#REF!</v>
      </c>
      <c r="C25" s="76" t="s">
        <v>5</v>
      </c>
      <c r="D25" s="327" t="e">
        <f>SUMIF(#REF!,P25,#REF!)</f>
        <v>#REF!</v>
      </c>
      <c r="E25" s="175" t="e">
        <f>COUNTIF(#REF!,"공국")</f>
        <v>#REF!</v>
      </c>
      <c r="F25" s="76" t="s">
        <v>5</v>
      </c>
      <c r="G25" s="327" t="e">
        <f>SUMIF(#REF!,Q25,#REF!)</f>
        <v>#REF!</v>
      </c>
      <c r="H25" s="175" t="e">
        <f>COUNTIF(#REF!,R25)</f>
        <v>#REF!</v>
      </c>
      <c r="I25" s="76" t="s">
        <v>5</v>
      </c>
      <c r="J25" s="327" t="e">
        <f>SUMIF(#REF!,R25,#REF!)</f>
        <v>#REF!</v>
      </c>
      <c r="K25" s="175" t="e">
        <f>COUNTIF(#REF!,S25)</f>
        <v>#REF!</v>
      </c>
      <c r="L25" s="76" t="s">
        <v>5</v>
      </c>
      <c r="M25" s="327" t="e">
        <f>SUMIF(#REF!,S25,#REF!)</f>
        <v>#REF!</v>
      </c>
      <c r="N25" s="166"/>
      <c r="O25" s="74" t="e">
        <f t="shared" si="0"/>
        <v>#REF!</v>
      </c>
      <c r="P25" s="74" t="s">
        <v>71</v>
      </c>
      <c r="Q25" s="183" t="str">
        <f t="shared" si="2"/>
        <v>공국</v>
      </c>
      <c r="R25" s="183" t="str">
        <f t="shared" si="2"/>
        <v>공공</v>
      </c>
      <c r="S25" s="183" t="str">
        <f t="shared" si="2"/>
        <v>공사</v>
      </c>
    </row>
    <row r="26" spans="1:19" s="143" customFormat="1" ht="23.1" customHeight="1">
      <c r="A26" s="180" t="s">
        <v>45</v>
      </c>
      <c r="B26" s="175" t="e">
        <f>COUNTIF(#REF!,P26)</f>
        <v>#REF!</v>
      </c>
      <c r="C26" s="76" t="s">
        <v>5</v>
      </c>
      <c r="D26" s="327" t="e">
        <f>SUMIF(#REF!,P26,#REF!)</f>
        <v>#REF!</v>
      </c>
      <c r="E26" s="175" t="e">
        <f>COUNTIF(#REF!,"체국")</f>
        <v>#REF!</v>
      </c>
      <c r="F26" s="76" t="s">
        <v>5</v>
      </c>
      <c r="G26" s="327" t="e">
        <f>SUMIF(#REF!,Q26,#REF!)</f>
        <v>#REF!</v>
      </c>
      <c r="H26" s="175" t="e">
        <f>COUNTIF(#REF!,R26)</f>
        <v>#REF!</v>
      </c>
      <c r="I26" s="76" t="s">
        <v>5</v>
      </c>
      <c r="J26" s="327" t="e">
        <f>SUMIF(#REF!,R26,#REF!)</f>
        <v>#REF!</v>
      </c>
      <c r="K26" s="175" t="e">
        <f>COUNTIF(#REF!,S26)</f>
        <v>#REF!</v>
      </c>
      <c r="L26" s="76" t="s">
        <v>5</v>
      </c>
      <c r="M26" s="327" t="e">
        <f>SUMIF(#REF!,S26,#REF!)</f>
        <v>#REF!</v>
      </c>
      <c r="N26" s="166"/>
      <c r="O26" s="74" t="e">
        <f t="shared" si="0"/>
        <v>#REF!</v>
      </c>
      <c r="P26" s="74" t="s">
        <v>93</v>
      </c>
      <c r="Q26" s="183" t="str">
        <f t="shared" si="2"/>
        <v>체국</v>
      </c>
      <c r="R26" s="183" t="str">
        <f t="shared" si="2"/>
        <v>체공</v>
      </c>
      <c r="S26" s="183" t="str">
        <f t="shared" si="2"/>
        <v>체사</v>
      </c>
    </row>
    <row r="27" spans="1:19" s="143" customFormat="1" ht="23.1" customHeight="1">
      <c r="A27" s="180" t="s">
        <v>60</v>
      </c>
      <c r="B27" s="175" t="e">
        <f>COUNTIF(#REF!,P27)</f>
        <v>#REF!</v>
      </c>
      <c r="C27" s="76" t="s">
        <v>5</v>
      </c>
      <c r="D27" s="327" t="e">
        <f>SUMIF(#REF!,P27,#REF!)</f>
        <v>#REF!</v>
      </c>
      <c r="E27" s="175" t="e">
        <f>COUNTIF(#REF!,"차국")</f>
        <v>#REF!</v>
      </c>
      <c r="F27" s="76" t="s">
        <v>5</v>
      </c>
      <c r="G27" s="327" t="e">
        <f>SUMIF(#REF!,Q27,#REF!)</f>
        <v>#REF!</v>
      </c>
      <c r="H27" s="175" t="e">
        <f>COUNTIF(#REF!,R27)</f>
        <v>#REF!</v>
      </c>
      <c r="I27" s="76" t="s">
        <v>5</v>
      </c>
      <c r="J27" s="327" t="e">
        <f>SUMIF(#REF!,R27,#REF!)</f>
        <v>#REF!</v>
      </c>
      <c r="K27" s="175" t="e">
        <f>COUNTIF(#REF!,S27)</f>
        <v>#REF!</v>
      </c>
      <c r="L27" s="76" t="s">
        <v>5</v>
      </c>
      <c r="M27" s="327" t="e">
        <f>SUMIF(#REF!,S27,#REF!)</f>
        <v>#REF!</v>
      </c>
      <c r="N27" s="166"/>
      <c r="O27" s="74" t="e">
        <f t="shared" si="0"/>
        <v>#REF!</v>
      </c>
      <c r="P27" s="74" t="s">
        <v>96</v>
      </c>
      <c r="Q27" s="183" t="str">
        <f t="shared" si="2"/>
        <v>차국</v>
      </c>
      <c r="R27" s="183" t="str">
        <f t="shared" si="2"/>
        <v>차공</v>
      </c>
      <c r="S27" s="183" t="str">
        <f t="shared" si="2"/>
        <v>차사</v>
      </c>
    </row>
    <row r="28" spans="1:19" s="143" customFormat="1" ht="23.1" customHeight="1">
      <c r="A28" s="180" t="s">
        <v>56</v>
      </c>
      <c r="B28" s="175" t="e">
        <f>COUNTIF(#REF!,P28)</f>
        <v>#REF!</v>
      </c>
      <c r="C28" s="76" t="s">
        <v>5</v>
      </c>
      <c r="D28" s="327" t="e">
        <f>SUMIF(#REF!,P28,#REF!)</f>
        <v>#REF!</v>
      </c>
      <c r="E28" s="175" t="e">
        <f>COUNTIF(#REF!,"주국")</f>
        <v>#REF!</v>
      </c>
      <c r="F28" s="76" t="s">
        <v>5</v>
      </c>
      <c r="G28" s="327" t="e">
        <f>SUMIF(#REF!,Q28,#REF!)</f>
        <v>#REF!</v>
      </c>
      <c r="H28" s="175" t="e">
        <f>COUNTIF(#REF!,R28)</f>
        <v>#REF!</v>
      </c>
      <c r="I28" s="76" t="s">
        <v>5</v>
      </c>
      <c r="J28" s="327" t="e">
        <f>SUMIF(#REF!,R28,#REF!)</f>
        <v>#REF!</v>
      </c>
      <c r="K28" s="175" t="e">
        <f>COUNTIF(#REF!,S28)</f>
        <v>#REF!</v>
      </c>
      <c r="L28" s="76" t="s">
        <v>5</v>
      </c>
      <c r="M28" s="327" t="e">
        <f>SUMIF(#REF!,S28,#REF!)</f>
        <v>#REF!</v>
      </c>
      <c r="N28" s="166"/>
      <c r="O28" s="74" t="e">
        <f t="shared" si="0"/>
        <v>#REF!</v>
      </c>
      <c r="P28" s="74" t="s">
        <v>94</v>
      </c>
      <c r="Q28" s="183" t="str">
        <f t="shared" si="2"/>
        <v>주국</v>
      </c>
      <c r="R28" s="183" t="str">
        <f t="shared" si="2"/>
        <v>주공</v>
      </c>
      <c r="S28" s="183" t="str">
        <f t="shared" si="2"/>
        <v>주사</v>
      </c>
    </row>
    <row r="29" spans="1:19" s="143" customFormat="1" ht="23.1" customHeight="1">
      <c r="A29" s="180" t="s">
        <v>57</v>
      </c>
      <c r="B29" s="175" t="e">
        <f>COUNTIF(#REF!,P29)</f>
        <v>#REF!</v>
      </c>
      <c r="C29" s="76" t="s">
        <v>5</v>
      </c>
      <c r="D29" s="327" t="e">
        <f>SUMIF(#REF!,P29,#REF!)</f>
        <v>#REF!</v>
      </c>
      <c r="E29" s="175" t="e">
        <f>COUNTIF(#REF!,"창국")</f>
        <v>#REF!</v>
      </c>
      <c r="F29" s="76" t="s">
        <v>5</v>
      </c>
      <c r="G29" s="327" t="e">
        <f>SUMIF(#REF!,Q29,#REF!)</f>
        <v>#REF!</v>
      </c>
      <c r="H29" s="175" t="e">
        <f>COUNTIF(#REF!,R29)</f>
        <v>#REF!</v>
      </c>
      <c r="I29" s="76" t="s">
        <v>5</v>
      </c>
      <c r="J29" s="327" t="e">
        <f>SUMIF(#REF!,R29,#REF!)</f>
        <v>#REF!</v>
      </c>
      <c r="K29" s="175" t="e">
        <f>COUNTIF(#REF!,S29)</f>
        <v>#REF!</v>
      </c>
      <c r="L29" s="76" t="s">
        <v>5</v>
      </c>
      <c r="M29" s="327" t="e">
        <f>SUMIF(#REF!,S29,#REF!)</f>
        <v>#REF!</v>
      </c>
      <c r="N29" s="166"/>
      <c r="O29" s="74" t="e">
        <f t="shared" si="0"/>
        <v>#REF!</v>
      </c>
      <c r="P29" s="74" t="s">
        <v>95</v>
      </c>
      <c r="Q29" s="183" t="str">
        <f t="shared" si="2"/>
        <v>창국</v>
      </c>
      <c r="R29" s="183" t="str">
        <f t="shared" si="2"/>
        <v>창공</v>
      </c>
      <c r="S29" s="183" t="str">
        <f t="shared" si="2"/>
        <v>창사</v>
      </c>
    </row>
    <row r="30" spans="1:19" s="143" customFormat="1" ht="23.1" customHeight="1">
      <c r="A30" s="182" t="s">
        <v>24</v>
      </c>
      <c r="B30" s="177" t="e">
        <f>COUNTIF(#REF!,P30)</f>
        <v>#REF!</v>
      </c>
      <c r="C30" s="81" t="s">
        <v>5</v>
      </c>
      <c r="D30" s="327" t="e">
        <f>SUMIF(#REF!,P30,#REF!)</f>
        <v>#REF!</v>
      </c>
      <c r="E30" s="177" t="e">
        <f>COUNTIF(#REF!,"가국")</f>
        <v>#REF!</v>
      </c>
      <c r="F30" s="81" t="s">
        <v>5</v>
      </c>
      <c r="G30" s="327" t="e">
        <f>SUMIF(#REF!,Q30,#REF!)</f>
        <v>#REF!</v>
      </c>
      <c r="H30" s="177" t="e">
        <f>COUNTIF(#REF!,R30)</f>
        <v>#REF!</v>
      </c>
      <c r="I30" s="81" t="s">
        <v>5</v>
      </c>
      <c r="J30" s="327" t="e">
        <f>SUMIF(#REF!,R30,#REF!)</f>
        <v>#REF!</v>
      </c>
      <c r="K30" s="177" t="e">
        <f>COUNTIF(#REF!,S30)</f>
        <v>#REF!</v>
      </c>
      <c r="L30" s="81" t="s">
        <v>5</v>
      </c>
      <c r="M30" s="327" t="e">
        <f>SUMIF(#REF!,S30,#REF!)</f>
        <v>#REF!</v>
      </c>
      <c r="N30" s="167"/>
      <c r="O30" s="74" t="e">
        <f t="shared" si="0"/>
        <v>#REF!</v>
      </c>
      <c r="P30" s="74" t="s">
        <v>97</v>
      </c>
      <c r="Q30" s="183" t="str">
        <f t="shared" si="2"/>
        <v>가국</v>
      </c>
      <c r="R30" s="183" t="str">
        <f t="shared" si="2"/>
        <v>가공</v>
      </c>
      <c r="S30" s="183" t="str">
        <f t="shared" si="2"/>
        <v>가사</v>
      </c>
    </row>
  </sheetData>
  <mergeCells count="2">
    <mergeCell ref="A3:A4"/>
    <mergeCell ref="N3:N4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502"/>
  <sheetViews>
    <sheetView showZeros="0" view="pageBreakPreview" zoomScaleSheetLayoutView="100" workbookViewId="0">
      <selection activeCell="E7" sqref="E7"/>
    </sheetView>
  </sheetViews>
  <sheetFormatPr defaultRowHeight="12"/>
  <cols>
    <col min="1" max="2" width="6.77734375" style="409" customWidth="1"/>
    <col min="3" max="3" width="6.77734375" style="410" customWidth="1"/>
    <col min="4" max="4" width="2.77734375" style="410" customWidth="1"/>
    <col min="5" max="5" width="10.77734375" style="410" customWidth="1"/>
    <col min="6" max="6" width="6.77734375" style="410" customWidth="1"/>
    <col min="7" max="7" width="2.77734375" style="410" customWidth="1"/>
    <col min="8" max="8" width="10.77734375" style="410" customWidth="1"/>
    <col min="9" max="9" width="6.77734375" style="410" customWidth="1"/>
    <col min="10" max="10" width="2.77734375" style="410" customWidth="1"/>
    <col min="11" max="11" width="10.77734375" style="410" customWidth="1"/>
    <col min="12" max="12" width="6.77734375" style="410" customWidth="1"/>
    <col min="13" max="13" width="2.77734375" style="410" customWidth="1"/>
    <col min="14" max="14" width="10.77734375" style="410" customWidth="1"/>
    <col min="15" max="15" width="5.77734375" style="410" customWidth="1"/>
    <col min="16" max="21" width="12.21875" style="410" customWidth="1"/>
    <col min="22" max="23" width="8.33203125" style="410" customWidth="1"/>
    <col min="24" max="16384" width="8.88671875" style="410"/>
  </cols>
  <sheetData>
    <row r="1" spans="1:28" s="348" customFormat="1" ht="48.75" customHeight="1">
      <c r="A1" s="484" t="s">
        <v>349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6"/>
      <c r="P1" s="416"/>
    </row>
    <row r="2" spans="1:28" s="352" customFormat="1" ht="20.100000000000001" customHeight="1">
      <c r="A2" s="349"/>
      <c r="B2" s="350"/>
      <c r="C2" s="351"/>
      <c r="D2" s="351"/>
      <c r="E2" s="351"/>
      <c r="F2" s="351"/>
      <c r="G2" s="351"/>
      <c r="H2" s="482" t="s">
        <v>358</v>
      </c>
      <c r="I2" s="482"/>
      <c r="J2" s="482"/>
      <c r="K2" s="482"/>
      <c r="L2" s="482"/>
      <c r="M2" s="482"/>
      <c r="N2" s="482"/>
      <c r="O2" s="483"/>
      <c r="P2" s="412"/>
    </row>
    <row r="3" spans="1:28" s="352" customFormat="1" ht="4.5" customHeight="1">
      <c r="A3" s="349"/>
      <c r="B3" s="350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429"/>
      <c r="P3" s="413"/>
    </row>
    <row r="4" spans="1:28" s="354" customFormat="1" ht="24.95" customHeight="1">
      <c r="A4" s="470" t="s">
        <v>350</v>
      </c>
      <c r="B4" s="471"/>
      <c r="C4" s="476" t="s">
        <v>3</v>
      </c>
      <c r="D4" s="476"/>
      <c r="E4" s="477"/>
      <c r="F4" s="480" t="s">
        <v>47</v>
      </c>
      <c r="G4" s="476"/>
      <c r="H4" s="477"/>
      <c r="I4" s="480" t="s">
        <v>360</v>
      </c>
      <c r="J4" s="476"/>
      <c r="K4" s="477"/>
      <c r="L4" s="480" t="s">
        <v>48</v>
      </c>
      <c r="M4" s="476"/>
      <c r="N4" s="477"/>
      <c r="O4" s="467" t="s">
        <v>22</v>
      </c>
      <c r="P4" s="463"/>
      <c r="T4" s="353"/>
      <c r="U4" s="353"/>
      <c r="V4" s="353"/>
      <c r="W4" s="353"/>
    </row>
    <row r="5" spans="1:28" s="354" customFormat="1" ht="24.95" customHeight="1">
      <c r="A5" s="472"/>
      <c r="B5" s="473"/>
      <c r="C5" s="478"/>
      <c r="D5" s="478"/>
      <c r="E5" s="479"/>
      <c r="F5" s="481"/>
      <c r="G5" s="478"/>
      <c r="H5" s="479"/>
      <c r="I5" s="481"/>
      <c r="J5" s="478"/>
      <c r="K5" s="479"/>
      <c r="L5" s="481"/>
      <c r="M5" s="478"/>
      <c r="N5" s="479"/>
      <c r="O5" s="468"/>
      <c r="P5" s="464"/>
      <c r="T5" s="353"/>
      <c r="U5" s="353"/>
      <c r="V5" s="467" t="s">
        <v>22</v>
      </c>
      <c r="W5" s="353"/>
    </row>
    <row r="6" spans="1:28" s="354" customFormat="1" ht="33" customHeight="1" thickBot="1">
      <c r="A6" s="474"/>
      <c r="B6" s="475"/>
      <c r="C6" s="355" t="s">
        <v>4</v>
      </c>
      <c r="D6" s="355" t="s">
        <v>5</v>
      </c>
      <c r="E6" s="356" t="s">
        <v>49</v>
      </c>
      <c r="F6" s="357" t="s">
        <v>4</v>
      </c>
      <c r="G6" s="355" t="s">
        <v>5</v>
      </c>
      <c r="H6" s="356" t="s">
        <v>49</v>
      </c>
      <c r="I6" s="357" t="s">
        <v>4</v>
      </c>
      <c r="J6" s="355" t="s">
        <v>5</v>
      </c>
      <c r="K6" s="356" t="s">
        <v>49</v>
      </c>
      <c r="L6" s="357" t="s">
        <v>4</v>
      </c>
      <c r="M6" s="355" t="s">
        <v>5</v>
      </c>
      <c r="N6" s="356" t="s">
        <v>49</v>
      </c>
      <c r="O6" s="469"/>
      <c r="P6" s="465"/>
      <c r="Q6" s="353"/>
      <c r="R6" s="358"/>
      <c r="S6" s="358"/>
      <c r="T6" s="358"/>
      <c r="U6" s="358"/>
      <c r="V6" s="468"/>
      <c r="W6" s="466"/>
      <c r="X6" s="466"/>
      <c r="Y6" s="466"/>
      <c r="Z6" s="466"/>
      <c r="AA6" s="466"/>
      <c r="AB6" s="466"/>
    </row>
    <row r="7" spans="1:28" s="368" customFormat="1" ht="35.1" customHeight="1" thickTop="1" thickBot="1">
      <c r="A7" s="445" t="s">
        <v>3</v>
      </c>
      <c r="B7" s="359" t="s">
        <v>345</v>
      </c>
      <c r="C7" s="360" t="e">
        <f>#REF!</f>
        <v>#REF!</v>
      </c>
      <c r="D7" s="361" t="s">
        <v>5</v>
      </c>
      <c r="E7" s="415" t="e">
        <f>#REF!</f>
        <v>#REF!</v>
      </c>
      <c r="F7" s="417" t="e">
        <f>#REF!</f>
        <v>#REF!</v>
      </c>
      <c r="G7" s="418" t="s">
        <v>5</v>
      </c>
      <c r="H7" s="415" t="e">
        <f>#REF!</f>
        <v>#REF!</v>
      </c>
      <c r="I7" s="417" t="e">
        <f>#REF!</f>
        <v>#REF!</v>
      </c>
      <c r="J7" s="418" t="s">
        <v>5</v>
      </c>
      <c r="K7" s="415" t="e">
        <f>#REF!</f>
        <v>#REF!</v>
      </c>
      <c r="L7" s="417" t="e">
        <f>#REF!</f>
        <v>#REF!</v>
      </c>
      <c r="M7" s="418" t="s">
        <v>5</v>
      </c>
      <c r="N7" s="415" t="e">
        <f>#REF!</f>
        <v>#REF!</v>
      </c>
      <c r="O7" s="422"/>
      <c r="P7" s="365"/>
      <c r="Q7" s="366"/>
      <c r="R7" s="367"/>
      <c r="S7" s="367"/>
      <c r="T7" s="367"/>
      <c r="U7" s="367"/>
      <c r="V7" s="469"/>
      <c r="W7" s="366"/>
    </row>
    <row r="8" spans="1:28" s="354" customFormat="1" ht="35.1" customHeight="1" thickTop="1">
      <c r="A8" s="446"/>
      <c r="B8" s="369" t="s">
        <v>346</v>
      </c>
      <c r="C8" s="370" t="e">
        <f>#REF!</f>
        <v>#REF!</v>
      </c>
      <c r="D8" s="371" t="s">
        <v>5</v>
      </c>
      <c r="E8" s="372" t="e">
        <f>#REF!</f>
        <v>#REF!</v>
      </c>
      <c r="F8" s="419" t="e">
        <f>#REF!</f>
        <v>#REF!</v>
      </c>
      <c r="G8" s="371" t="s">
        <v>5</v>
      </c>
      <c r="H8" s="385" t="e">
        <f>#REF!</f>
        <v>#REF!</v>
      </c>
      <c r="I8" s="419" t="e">
        <f>#REF!</f>
        <v>#REF!</v>
      </c>
      <c r="J8" s="371" t="s">
        <v>5</v>
      </c>
      <c r="K8" s="385" t="e">
        <f>#REF!</f>
        <v>#REF!</v>
      </c>
      <c r="L8" s="419" t="e">
        <f>#REF!</f>
        <v>#REF!</v>
      </c>
      <c r="M8" s="371" t="s">
        <v>5</v>
      </c>
      <c r="N8" s="385" t="e">
        <f>#REF!</f>
        <v>#REF!</v>
      </c>
      <c r="O8" s="423"/>
      <c r="P8" s="374"/>
      <c r="Q8" s="353"/>
      <c r="R8" s="375"/>
      <c r="S8" s="375"/>
      <c r="T8" s="375"/>
      <c r="U8" s="375"/>
      <c r="V8" s="365"/>
      <c r="W8" s="353"/>
    </row>
    <row r="9" spans="1:28" s="368" customFormat="1" ht="35.1" customHeight="1">
      <c r="A9" s="461" t="s">
        <v>7</v>
      </c>
      <c r="B9" s="376" t="s">
        <v>345</v>
      </c>
      <c r="C9" s="360" t="e">
        <f>#REF!</f>
        <v>#REF!</v>
      </c>
      <c r="D9" s="378" t="s">
        <v>5</v>
      </c>
      <c r="E9" s="362" t="e">
        <f>#REF!</f>
        <v>#REF!</v>
      </c>
      <c r="F9" s="420" t="e">
        <f>#REF!</f>
        <v>#REF!</v>
      </c>
      <c r="G9" s="381" t="s">
        <v>5</v>
      </c>
      <c r="H9" s="379" t="e">
        <f>#REF!</f>
        <v>#REF!</v>
      </c>
      <c r="I9" s="420" t="e">
        <f>#REF!</f>
        <v>#REF!</v>
      </c>
      <c r="J9" s="381" t="s">
        <v>5</v>
      </c>
      <c r="K9" s="379" t="e">
        <f>#REF!</f>
        <v>#REF!</v>
      </c>
      <c r="L9" s="420" t="e">
        <f>#REF!</f>
        <v>#REF!</v>
      </c>
      <c r="M9" s="381" t="s">
        <v>5</v>
      </c>
      <c r="N9" s="379" t="e">
        <f>#REF!</f>
        <v>#REF!</v>
      </c>
      <c r="O9" s="424"/>
      <c r="P9" s="382"/>
      <c r="Q9" s="366"/>
      <c r="R9" s="367"/>
      <c r="S9" s="367"/>
      <c r="T9" s="367"/>
      <c r="U9" s="367"/>
      <c r="V9" s="374"/>
      <c r="W9" s="366"/>
    </row>
    <row r="10" spans="1:28" s="354" customFormat="1" ht="35.1" customHeight="1">
      <c r="A10" s="446"/>
      <c r="B10" s="383" t="s">
        <v>346</v>
      </c>
      <c r="C10" s="370" t="e">
        <f>#REF!</f>
        <v>#REF!</v>
      </c>
      <c r="D10" s="371" t="s">
        <v>5</v>
      </c>
      <c r="E10" s="372" t="e">
        <f>#REF!</f>
        <v>#REF!</v>
      </c>
      <c r="F10" s="419" t="e">
        <f>#REF!</f>
        <v>#REF!</v>
      </c>
      <c r="G10" s="371" t="s">
        <v>5</v>
      </c>
      <c r="H10" s="385"/>
      <c r="I10" s="419" t="e">
        <f>#REF!</f>
        <v>#REF!</v>
      </c>
      <c r="J10" s="371" t="s">
        <v>5</v>
      </c>
      <c r="K10" s="385" t="e">
        <f>#REF!</f>
        <v>#REF!</v>
      </c>
      <c r="L10" s="419" t="e">
        <f>#REF!</f>
        <v>#REF!</v>
      </c>
      <c r="M10" s="371" t="s">
        <v>5</v>
      </c>
      <c r="N10" s="385" t="e">
        <f>#REF!</f>
        <v>#REF!</v>
      </c>
      <c r="O10" s="425"/>
      <c r="P10" s="387"/>
      <c r="Q10" s="353"/>
      <c r="R10" s="375"/>
      <c r="S10" s="375"/>
      <c r="T10" s="375"/>
      <c r="U10" s="375"/>
      <c r="V10" s="382"/>
      <c r="W10" s="353"/>
    </row>
    <row r="11" spans="1:28" s="368" customFormat="1" ht="35.1" customHeight="1">
      <c r="A11" s="461" t="s">
        <v>67</v>
      </c>
      <c r="B11" s="376" t="s">
        <v>345</v>
      </c>
      <c r="C11" s="360" t="e">
        <f>#REF!</f>
        <v>#REF!</v>
      </c>
      <c r="D11" s="378" t="s">
        <v>5</v>
      </c>
      <c r="E11" s="362" t="e">
        <f>#REF!</f>
        <v>#REF!</v>
      </c>
      <c r="F11" s="420" t="e">
        <f>#REF!</f>
        <v>#REF!</v>
      </c>
      <c r="G11" s="381" t="s">
        <v>5</v>
      </c>
      <c r="H11" s="379" t="e">
        <f>#REF!</f>
        <v>#REF!</v>
      </c>
      <c r="I11" s="420" t="e">
        <f>#REF!</f>
        <v>#REF!</v>
      </c>
      <c r="J11" s="381" t="s">
        <v>5</v>
      </c>
      <c r="K11" s="379"/>
      <c r="L11" s="420" t="e">
        <f>#REF!</f>
        <v>#REF!</v>
      </c>
      <c r="M11" s="381" t="s">
        <v>5</v>
      </c>
      <c r="N11" s="379" t="e">
        <f>#REF!</f>
        <v>#REF!</v>
      </c>
      <c r="O11" s="424"/>
      <c r="P11" s="382"/>
      <c r="R11" s="366"/>
      <c r="T11" s="366"/>
      <c r="V11" s="387"/>
      <c r="W11" s="366"/>
    </row>
    <row r="12" spans="1:28" s="354" customFormat="1" ht="35.1" customHeight="1">
      <c r="A12" s="446"/>
      <c r="B12" s="383" t="s">
        <v>346</v>
      </c>
      <c r="C12" s="370" t="e">
        <f>#REF!</f>
        <v>#REF!</v>
      </c>
      <c r="D12" s="388" t="s">
        <v>5</v>
      </c>
      <c r="E12" s="372" t="e">
        <f>#REF!</f>
        <v>#REF!</v>
      </c>
      <c r="F12" s="419" t="e">
        <f>#REF!</f>
        <v>#REF!</v>
      </c>
      <c r="G12" s="371" t="s">
        <v>5</v>
      </c>
      <c r="H12" s="385" t="e">
        <f>#REF!</f>
        <v>#REF!</v>
      </c>
      <c r="I12" s="419" t="e">
        <f>#REF!</f>
        <v>#REF!</v>
      </c>
      <c r="J12" s="371" t="s">
        <v>5</v>
      </c>
      <c r="K12" s="385"/>
      <c r="L12" s="419" t="e">
        <f>#REF!</f>
        <v>#REF!</v>
      </c>
      <c r="M12" s="371" t="s">
        <v>5</v>
      </c>
      <c r="N12" s="385" t="e">
        <f>#REF!</f>
        <v>#REF!</v>
      </c>
      <c r="O12" s="425"/>
      <c r="P12" s="387"/>
      <c r="R12" s="353"/>
      <c r="T12" s="353"/>
      <c r="V12" s="382"/>
      <c r="W12" s="353"/>
    </row>
    <row r="13" spans="1:28" s="368" customFormat="1" ht="35.1" customHeight="1">
      <c r="A13" s="461" t="s">
        <v>355</v>
      </c>
      <c r="B13" s="376" t="s">
        <v>345</v>
      </c>
      <c r="C13" s="360" t="e">
        <f>#REF!</f>
        <v>#REF!</v>
      </c>
      <c r="D13" s="378" t="s">
        <v>5</v>
      </c>
      <c r="E13" s="362" t="e">
        <f>#REF!</f>
        <v>#REF!</v>
      </c>
      <c r="F13" s="420" t="e">
        <f>#REF!</f>
        <v>#REF!</v>
      </c>
      <c r="G13" s="381" t="s">
        <v>5</v>
      </c>
      <c r="H13" s="379" t="e">
        <f>#REF!</f>
        <v>#REF!</v>
      </c>
      <c r="I13" s="420" t="e">
        <f>#REF!</f>
        <v>#REF!</v>
      </c>
      <c r="J13" s="381" t="s">
        <v>5</v>
      </c>
      <c r="K13" s="379" t="e">
        <f>#REF!</f>
        <v>#REF!</v>
      </c>
      <c r="L13" s="420" t="e">
        <f>#REF!</f>
        <v>#REF!</v>
      </c>
      <c r="M13" s="381" t="s">
        <v>5</v>
      </c>
      <c r="N13" s="379" t="e">
        <f>#REF!</f>
        <v>#REF!</v>
      </c>
      <c r="O13" s="424"/>
      <c r="P13" s="382"/>
      <c r="Q13" s="366"/>
      <c r="R13" s="366"/>
      <c r="S13" s="366"/>
      <c r="T13" s="366"/>
      <c r="U13" s="366"/>
      <c r="V13" s="387"/>
      <c r="W13" s="366"/>
    </row>
    <row r="14" spans="1:28" s="354" customFormat="1" ht="35.1" customHeight="1">
      <c r="A14" s="446"/>
      <c r="B14" s="383" t="s">
        <v>346</v>
      </c>
      <c r="C14" s="370" t="e">
        <f>#REF!</f>
        <v>#REF!</v>
      </c>
      <c r="D14" s="388" t="s">
        <v>5</v>
      </c>
      <c r="E14" s="372" t="e">
        <f>#REF!</f>
        <v>#REF!</v>
      </c>
      <c r="F14" s="419" t="e">
        <f>#REF!</f>
        <v>#REF!</v>
      </c>
      <c r="G14" s="371" t="s">
        <v>5</v>
      </c>
      <c r="H14" s="385"/>
      <c r="I14" s="419" t="e">
        <f>#REF!</f>
        <v>#REF!</v>
      </c>
      <c r="J14" s="371" t="s">
        <v>5</v>
      </c>
      <c r="K14" s="385" t="e">
        <f>#REF!</f>
        <v>#REF!</v>
      </c>
      <c r="L14" s="419" t="e">
        <f>#REF!</f>
        <v>#REF!</v>
      </c>
      <c r="M14" s="371" t="s">
        <v>5</v>
      </c>
      <c r="N14" s="385" t="e">
        <f>#REF!</f>
        <v>#REF!</v>
      </c>
      <c r="O14" s="425"/>
      <c r="P14" s="387"/>
      <c r="Q14" s="353"/>
      <c r="R14" s="353"/>
      <c r="S14" s="353"/>
      <c r="T14" s="353"/>
      <c r="U14" s="353"/>
      <c r="V14" s="382"/>
      <c r="W14" s="353"/>
    </row>
    <row r="15" spans="1:28" s="368" customFormat="1" ht="35.1" customHeight="1">
      <c r="A15" s="461" t="s">
        <v>356</v>
      </c>
      <c r="B15" s="376" t="s">
        <v>345</v>
      </c>
      <c r="C15" s="360" t="e">
        <f>#REF!</f>
        <v>#REF!</v>
      </c>
      <c r="D15" s="378" t="s">
        <v>5</v>
      </c>
      <c r="E15" s="362" t="e">
        <f>#REF!</f>
        <v>#REF!</v>
      </c>
      <c r="F15" s="420" t="e">
        <f>#REF!</f>
        <v>#REF!</v>
      </c>
      <c r="G15" s="378" t="s">
        <v>5</v>
      </c>
      <c r="H15" s="379" t="e">
        <f>#REF!</f>
        <v>#REF!</v>
      </c>
      <c r="I15" s="420" t="e">
        <f>#REF!</f>
        <v>#REF!</v>
      </c>
      <c r="J15" s="381" t="s">
        <v>5</v>
      </c>
      <c r="K15" s="379"/>
      <c r="L15" s="420" t="e">
        <f>#REF!</f>
        <v>#REF!</v>
      </c>
      <c r="M15" s="381" t="s">
        <v>5</v>
      </c>
      <c r="N15" s="379" t="e">
        <f>#REF!</f>
        <v>#REF!</v>
      </c>
      <c r="O15" s="424"/>
      <c r="P15" s="382"/>
      <c r="Q15" s="366"/>
      <c r="R15" s="366"/>
      <c r="S15" s="366"/>
      <c r="T15" s="366"/>
      <c r="U15" s="366"/>
      <c r="V15" s="387"/>
      <c r="W15" s="366"/>
    </row>
    <row r="16" spans="1:28" s="354" customFormat="1" ht="35.1" customHeight="1">
      <c r="A16" s="446"/>
      <c r="B16" s="383" t="s">
        <v>346</v>
      </c>
      <c r="C16" s="370" t="e">
        <f>#REF!</f>
        <v>#REF!</v>
      </c>
      <c r="D16" s="388" t="s">
        <v>5</v>
      </c>
      <c r="E16" s="372" t="e">
        <f>#REF!</f>
        <v>#REF!</v>
      </c>
      <c r="F16" s="419" t="e">
        <f>#REF!</f>
        <v>#REF!</v>
      </c>
      <c r="G16" s="388" t="s">
        <v>5</v>
      </c>
      <c r="H16" s="385" t="e">
        <f>#REF!</f>
        <v>#REF!</v>
      </c>
      <c r="I16" s="419" t="e">
        <f>#REF!</f>
        <v>#REF!</v>
      </c>
      <c r="J16" s="371" t="s">
        <v>5</v>
      </c>
      <c r="K16" s="385"/>
      <c r="L16" s="419" t="e">
        <f>#REF!</f>
        <v>#REF!</v>
      </c>
      <c r="M16" s="371" t="s">
        <v>5</v>
      </c>
      <c r="N16" s="385" t="e">
        <f>#REF!</f>
        <v>#REF!</v>
      </c>
      <c r="O16" s="425"/>
      <c r="P16" s="387"/>
      <c r="Q16" s="353"/>
      <c r="R16" s="353"/>
      <c r="S16" s="353"/>
      <c r="T16" s="353"/>
      <c r="U16" s="353"/>
      <c r="V16" s="382"/>
      <c r="W16" s="353"/>
    </row>
    <row r="17" spans="1:23" s="368" customFormat="1" ht="35.1" customHeight="1">
      <c r="A17" s="461" t="s">
        <v>357</v>
      </c>
      <c r="B17" s="376" t="s">
        <v>345</v>
      </c>
      <c r="C17" s="360" t="e">
        <f>#REF!</f>
        <v>#REF!</v>
      </c>
      <c r="D17" s="378" t="s">
        <v>5</v>
      </c>
      <c r="E17" s="362" t="e">
        <f>#REF!</f>
        <v>#REF!</v>
      </c>
      <c r="F17" s="420" t="e">
        <f>#REF!</f>
        <v>#REF!</v>
      </c>
      <c r="G17" s="381" t="s">
        <v>5</v>
      </c>
      <c r="H17" s="379" t="e">
        <f>#REF!</f>
        <v>#REF!</v>
      </c>
      <c r="I17" s="420" t="e">
        <f>#REF!</f>
        <v>#REF!</v>
      </c>
      <c r="J17" s="381" t="s">
        <v>5</v>
      </c>
      <c r="K17" s="379" t="e">
        <f>#REF!</f>
        <v>#REF!</v>
      </c>
      <c r="L17" s="420" t="e">
        <f>#REF!</f>
        <v>#REF!</v>
      </c>
      <c r="M17" s="381" t="s">
        <v>5</v>
      </c>
      <c r="N17" s="379" t="e">
        <f>#REF!</f>
        <v>#REF!</v>
      </c>
      <c r="O17" s="424"/>
      <c r="P17" s="382"/>
      <c r="Q17" s="366"/>
      <c r="R17" s="366"/>
      <c r="S17" s="366"/>
      <c r="T17" s="366"/>
      <c r="U17" s="366"/>
      <c r="V17" s="387"/>
      <c r="W17" s="389"/>
    </row>
    <row r="18" spans="1:23" s="354" customFormat="1" ht="35.1" customHeight="1">
      <c r="A18" s="446"/>
      <c r="B18" s="383" t="s">
        <v>346</v>
      </c>
      <c r="C18" s="370" t="e">
        <f>#REF!</f>
        <v>#REF!</v>
      </c>
      <c r="D18" s="388" t="s">
        <v>5</v>
      </c>
      <c r="E18" s="372" t="e">
        <f>#REF!</f>
        <v>#REF!</v>
      </c>
      <c r="F18" s="419" t="e">
        <f>#REF!</f>
        <v>#REF!</v>
      </c>
      <c r="G18" s="371" t="s">
        <v>5</v>
      </c>
      <c r="H18" s="385" t="e">
        <f>#REF!</f>
        <v>#REF!</v>
      </c>
      <c r="I18" s="419" t="e">
        <f>#REF!</f>
        <v>#REF!</v>
      </c>
      <c r="J18" s="371" t="s">
        <v>5</v>
      </c>
      <c r="K18" s="385" t="e">
        <f>#REF!</f>
        <v>#REF!</v>
      </c>
      <c r="L18" s="419" t="e">
        <f>#REF!</f>
        <v>#REF!</v>
      </c>
      <c r="M18" s="371" t="s">
        <v>5</v>
      </c>
      <c r="N18" s="385" t="e">
        <f>#REF!</f>
        <v>#REF!</v>
      </c>
      <c r="O18" s="425"/>
      <c r="P18" s="387"/>
      <c r="Q18" s="353"/>
      <c r="R18" s="353"/>
      <c r="S18" s="353"/>
      <c r="T18" s="353"/>
      <c r="U18" s="353"/>
      <c r="V18" s="382"/>
      <c r="W18" s="390"/>
    </row>
    <row r="19" spans="1:23" s="368" customFormat="1" ht="35.1" customHeight="1">
      <c r="A19" s="461" t="s">
        <v>352</v>
      </c>
      <c r="B19" s="376" t="s">
        <v>345</v>
      </c>
      <c r="C19" s="360" t="e">
        <f>#REF!</f>
        <v>#REF!</v>
      </c>
      <c r="D19" s="378" t="s">
        <v>5</v>
      </c>
      <c r="E19" s="362" t="e">
        <f>#REF!</f>
        <v>#REF!</v>
      </c>
      <c r="F19" s="420" t="e">
        <f>#REF!</f>
        <v>#REF!</v>
      </c>
      <c r="G19" s="381" t="s">
        <v>5</v>
      </c>
      <c r="H19" s="379" t="e">
        <f>#REF!</f>
        <v>#REF!</v>
      </c>
      <c r="I19" s="420" t="e">
        <f>#REF!</f>
        <v>#REF!</v>
      </c>
      <c r="J19" s="381" t="s">
        <v>5</v>
      </c>
      <c r="K19" s="379"/>
      <c r="L19" s="420" t="e">
        <f>#REF!</f>
        <v>#REF!</v>
      </c>
      <c r="M19" s="381" t="s">
        <v>5</v>
      </c>
      <c r="N19" s="379"/>
      <c r="O19" s="424"/>
      <c r="P19" s="382"/>
      <c r="Q19" s="366"/>
      <c r="R19" s="366"/>
      <c r="S19" s="366"/>
      <c r="T19" s="366"/>
      <c r="U19" s="366"/>
      <c r="V19" s="387"/>
      <c r="W19" s="366"/>
    </row>
    <row r="20" spans="1:23" s="354" customFormat="1" ht="35.1" customHeight="1">
      <c r="A20" s="446"/>
      <c r="B20" s="383" t="s">
        <v>346</v>
      </c>
      <c r="C20" s="370" t="e">
        <f>#REF!</f>
        <v>#REF!</v>
      </c>
      <c r="D20" s="392" t="s">
        <v>5</v>
      </c>
      <c r="E20" s="372" t="e">
        <f>#REF!</f>
        <v>#REF!</v>
      </c>
      <c r="F20" s="419" t="e">
        <f>#REF!</f>
        <v>#REF!</v>
      </c>
      <c r="G20" s="371" t="s">
        <v>5</v>
      </c>
      <c r="H20" s="385" t="e">
        <f>#REF!</f>
        <v>#REF!</v>
      </c>
      <c r="I20" s="419" t="e">
        <f>#REF!</f>
        <v>#REF!</v>
      </c>
      <c r="J20" s="371" t="s">
        <v>5</v>
      </c>
      <c r="K20" s="385"/>
      <c r="L20" s="419" t="e">
        <f>#REF!</f>
        <v>#REF!</v>
      </c>
      <c r="M20" s="371" t="s">
        <v>5</v>
      </c>
      <c r="N20" s="385"/>
      <c r="O20" s="426"/>
      <c r="P20" s="396"/>
      <c r="Q20" s="353"/>
      <c r="R20" s="353"/>
      <c r="S20" s="353"/>
      <c r="T20" s="353"/>
      <c r="U20" s="353"/>
      <c r="V20" s="382"/>
      <c r="W20" s="353"/>
    </row>
    <row r="21" spans="1:23" s="368" customFormat="1" ht="35.1" customHeight="1">
      <c r="A21" s="461" t="s">
        <v>353</v>
      </c>
      <c r="B21" s="376" t="s">
        <v>345</v>
      </c>
      <c r="C21" s="360" t="e">
        <f>#REF!</f>
        <v>#REF!</v>
      </c>
      <c r="D21" s="397"/>
      <c r="E21" s="362" t="e">
        <f>#REF!</f>
        <v>#REF!</v>
      </c>
      <c r="F21" s="420" t="e">
        <f>#REF!</f>
        <v>#REF!</v>
      </c>
      <c r="G21" s="381" t="s">
        <v>5</v>
      </c>
      <c r="H21" s="379"/>
      <c r="I21" s="420" t="e">
        <f>#REF!</f>
        <v>#REF!</v>
      </c>
      <c r="J21" s="381" t="s">
        <v>5</v>
      </c>
      <c r="K21" s="379"/>
      <c r="L21" s="420" t="e">
        <f>#REF!</f>
        <v>#REF!</v>
      </c>
      <c r="M21" s="381" t="s">
        <v>5</v>
      </c>
      <c r="N21" s="379" t="e">
        <f>#REF!</f>
        <v>#REF!</v>
      </c>
      <c r="O21" s="427"/>
      <c r="P21" s="401"/>
      <c r="Q21" s="366"/>
      <c r="R21" s="366"/>
      <c r="S21" s="366"/>
      <c r="T21" s="366"/>
      <c r="U21" s="366"/>
      <c r="V21" s="396"/>
      <c r="W21" s="366"/>
    </row>
    <row r="22" spans="1:23" s="354" customFormat="1" ht="35.1" customHeight="1">
      <c r="A22" s="487"/>
      <c r="B22" s="411" t="s">
        <v>346</v>
      </c>
      <c r="C22" s="370" t="e">
        <f>#REF!</f>
        <v>#REF!</v>
      </c>
      <c r="D22" s="392" t="s">
        <v>5</v>
      </c>
      <c r="E22" s="372" t="e">
        <f>#REF!</f>
        <v>#REF!</v>
      </c>
      <c r="F22" s="419" t="e">
        <f>#REF!</f>
        <v>#REF!</v>
      </c>
      <c r="G22" s="371" t="s">
        <v>5</v>
      </c>
      <c r="H22" s="385"/>
      <c r="I22" s="419" t="e">
        <f>#REF!</f>
        <v>#REF!</v>
      </c>
      <c r="J22" s="388" t="s">
        <v>5</v>
      </c>
      <c r="K22" s="385"/>
      <c r="L22" s="419" t="e">
        <f>#REF!</f>
        <v>#REF!</v>
      </c>
      <c r="M22" s="388" t="s">
        <v>5</v>
      </c>
      <c r="N22" s="385" t="e">
        <f>#REF!</f>
        <v>#REF!</v>
      </c>
      <c r="O22" s="426"/>
      <c r="P22" s="396"/>
      <c r="Q22" s="353"/>
      <c r="R22" s="353"/>
      <c r="S22" s="353"/>
      <c r="T22" s="353"/>
      <c r="U22" s="353"/>
      <c r="V22" s="401"/>
      <c r="W22" s="353"/>
    </row>
    <row r="23" spans="1:23" s="352" customFormat="1" ht="35.1" customHeight="1">
      <c r="A23" s="461" t="s">
        <v>354</v>
      </c>
      <c r="B23" s="376" t="s">
        <v>345</v>
      </c>
      <c r="C23" s="360" t="e">
        <f>#REF!</f>
        <v>#REF!</v>
      </c>
      <c r="D23" s="397"/>
      <c r="E23" s="362" t="e">
        <f>#REF!</f>
        <v>#REF!</v>
      </c>
      <c r="F23" s="420" t="e">
        <f>#REF!</f>
        <v>#REF!</v>
      </c>
      <c r="G23" s="381" t="s">
        <v>5</v>
      </c>
      <c r="H23" s="379" t="e">
        <f>#REF!</f>
        <v>#REF!</v>
      </c>
      <c r="I23" s="420" t="e">
        <f>#REF!</f>
        <v>#REF!</v>
      </c>
      <c r="J23" s="381" t="s">
        <v>5</v>
      </c>
      <c r="K23" s="379" t="e">
        <f>#REF!</f>
        <v>#REF!</v>
      </c>
      <c r="L23" s="420" t="e">
        <f>#REF!</f>
        <v>#REF!</v>
      </c>
      <c r="M23" s="381" t="s">
        <v>5</v>
      </c>
      <c r="N23" s="379"/>
      <c r="O23" s="427"/>
      <c r="P23" s="401"/>
      <c r="Q23" s="410"/>
      <c r="R23" s="410"/>
      <c r="S23" s="410"/>
      <c r="T23" s="410"/>
      <c r="U23" s="410"/>
      <c r="V23" s="396"/>
    </row>
    <row r="24" spans="1:23" s="352" customFormat="1" ht="35.1" customHeight="1" thickBot="1">
      <c r="A24" s="462"/>
      <c r="B24" s="402" t="s">
        <v>346</v>
      </c>
      <c r="C24" s="403" t="e">
        <f>#REF!</f>
        <v>#REF!</v>
      </c>
      <c r="D24" s="404" t="s">
        <v>5</v>
      </c>
      <c r="E24" s="405" t="e">
        <f>#REF!</f>
        <v>#REF!</v>
      </c>
      <c r="F24" s="421" t="e">
        <f>#REF!</f>
        <v>#REF!</v>
      </c>
      <c r="G24" s="407" t="s">
        <v>5</v>
      </c>
      <c r="H24" s="405"/>
      <c r="I24" s="421" t="e">
        <f>#REF!</f>
        <v>#REF!</v>
      </c>
      <c r="J24" s="404" t="s">
        <v>5</v>
      </c>
      <c r="K24" s="405" t="e">
        <f>#REF!</f>
        <v>#REF!</v>
      </c>
      <c r="L24" s="421" t="e">
        <f>#REF!</f>
        <v>#REF!</v>
      </c>
      <c r="M24" s="404" t="s">
        <v>5</v>
      </c>
      <c r="N24" s="405"/>
      <c r="O24" s="428"/>
      <c r="P24" s="408"/>
      <c r="Q24" s="410"/>
      <c r="R24" s="410"/>
      <c r="S24" s="410"/>
      <c r="T24" s="410"/>
      <c r="U24" s="410"/>
      <c r="V24" s="401"/>
    </row>
    <row r="25" spans="1:23" s="354" customFormat="1" ht="27.95" customHeight="1" thickBot="1">
      <c r="A25" s="409"/>
      <c r="B25" s="409"/>
      <c r="C25" s="410"/>
      <c r="D25" s="410"/>
      <c r="E25" s="410"/>
      <c r="F25" s="410"/>
      <c r="G25" s="410"/>
      <c r="H25" s="410"/>
      <c r="I25" s="410"/>
      <c r="J25" s="410"/>
      <c r="K25" s="410" t="s">
        <v>361</v>
      </c>
      <c r="L25" s="410"/>
      <c r="M25" s="410"/>
      <c r="N25" s="410"/>
      <c r="O25" s="410"/>
      <c r="P25" s="410"/>
      <c r="Q25" s="410"/>
      <c r="R25" s="410"/>
      <c r="S25" s="410"/>
      <c r="T25" s="410"/>
      <c r="U25" s="410"/>
      <c r="V25" s="408"/>
      <c r="W25" s="353"/>
    </row>
    <row r="26" spans="1:23" s="354" customFormat="1" ht="27.95" customHeight="1">
      <c r="A26" s="409"/>
      <c r="B26" s="409"/>
      <c r="C26" s="410"/>
      <c r="D26" s="410"/>
      <c r="E26" s="410"/>
      <c r="F26" s="410" t="s">
        <v>351</v>
      </c>
      <c r="G26" s="410"/>
      <c r="H26" s="410"/>
      <c r="I26" s="410"/>
      <c r="J26" s="410"/>
      <c r="K26" s="410"/>
      <c r="L26" s="410"/>
      <c r="M26" s="410"/>
      <c r="N26" s="410"/>
      <c r="O26" s="410"/>
      <c r="P26" s="410"/>
      <c r="Q26" s="410"/>
      <c r="R26" s="410"/>
      <c r="S26" s="410"/>
      <c r="T26" s="410"/>
      <c r="U26" s="410"/>
      <c r="V26" s="410"/>
      <c r="W26" s="353"/>
    </row>
    <row r="27" spans="1:23" s="354" customFormat="1" ht="23.1" customHeight="1">
      <c r="A27" s="409"/>
      <c r="B27" s="409"/>
      <c r="C27" s="410"/>
      <c r="D27" s="410"/>
      <c r="E27" s="410"/>
      <c r="F27" s="410"/>
      <c r="G27" s="410"/>
      <c r="H27" s="410"/>
      <c r="I27" s="410"/>
      <c r="J27" s="410"/>
      <c r="K27" s="410"/>
      <c r="L27" s="410"/>
      <c r="M27" s="410"/>
      <c r="N27" s="410"/>
      <c r="O27" s="410"/>
      <c r="P27" s="410"/>
      <c r="Q27" s="410"/>
      <c r="R27" s="410"/>
      <c r="S27" s="410"/>
      <c r="T27" s="410"/>
      <c r="U27" s="410"/>
      <c r="V27" s="410"/>
      <c r="W27" s="353"/>
    </row>
    <row r="28" spans="1:23" s="354" customFormat="1" ht="23.1" customHeight="1">
      <c r="A28" s="409"/>
      <c r="B28" s="409"/>
      <c r="C28" s="410"/>
      <c r="D28" s="410"/>
      <c r="E28" s="410"/>
      <c r="F28" s="410"/>
      <c r="G28" s="410"/>
      <c r="H28" s="410"/>
      <c r="I28" s="410"/>
      <c r="J28" s="410"/>
      <c r="K28" s="410"/>
      <c r="L28" s="410"/>
      <c r="M28" s="410"/>
      <c r="N28" s="410"/>
      <c r="O28" s="410"/>
      <c r="P28" s="410"/>
      <c r="Q28" s="410"/>
      <c r="R28" s="410"/>
      <c r="S28" s="410"/>
      <c r="T28" s="410"/>
      <c r="U28" s="410"/>
      <c r="V28" s="410"/>
      <c r="W28" s="353"/>
    </row>
    <row r="29" spans="1:23" s="354" customFormat="1" ht="23.1" customHeight="1">
      <c r="A29" s="409"/>
      <c r="B29" s="409"/>
      <c r="C29" s="410"/>
      <c r="D29" s="410"/>
      <c r="E29" s="410"/>
      <c r="F29" s="410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  <c r="R29" s="410"/>
      <c r="S29" s="410"/>
      <c r="T29" s="410"/>
      <c r="U29" s="410"/>
      <c r="V29" s="410"/>
      <c r="W29" s="353"/>
    </row>
    <row r="30" spans="1:23" s="354" customFormat="1" ht="23.1" customHeight="1">
      <c r="A30" s="409"/>
      <c r="B30" s="409"/>
      <c r="C30" s="410"/>
      <c r="D30" s="410"/>
      <c r="E30" s="410"/>
      <c r="F30" s="410"/>
      <c r="G30" s="410"/>
      <c r="H30" s="410"/>
      <c r="I30" s="410"/>
      <c r="J30" s="410"/>
      <c r="K30" s="410"/>
      <c r="L30" s="410"/>
      <c r="M30" s="410"/>
      <c r="N30" s="410"/>
      <c r="O30" s="410"/>
      <c r="P30" s="410"/>
      <c r="Q30" s="410"/>
      <c r="R30" s="410"/>
      <c r="S30" s="410"/>
      <c r="T30" s="410"/>
      <c r="U30" s="410"/>
      <c r="V30" s="410"/>
      <c r="W30" s="353"/>
    </row>
    <row r="31" spans="1:23" s="354" customFormat="1" ht="23.1" customHeight="1">
      <c r="A31" s="409"/>
      <c r="B31" s="409"/>
      <c r="C31" s="410"/>
      <c r="D31" s="410"/>
      <c r="E31" s="410"/>
      <c r="F31" s="410"/>
      <c r="G31" s="410"/>
      <c r="H31" s="410"/>
      <c r="I31" s="410"/>
      <c r="J31" s="410"/>
      <c r="K31" s="410"/>
      <c r="L31" s="410"/>
      <c r="M31" s="410"/>
      <c r="N31" s="410"/>
      <c r="O31" s="410"/>
      <c r="P31" s="410"/>
      <c r="Q31" s="410"/>
      <c r="R31" s="410"/>
      <c r="S31" s="410"/>
      <c r="T31" s="410"/>
      <c r="U31" s="410"/>
      <c r="V31" s="410"/>
      <c r="W31" s="353"/>
    </row>
    <row r="32" spans="1:23" s="354" customFormat="1" ht="23.1" customHeight="1">
      <c r="A32" s="409"/>
      <c r="B32" s="409"/>
      <c r="C32" s="410"/>
      <c r="D32" s="410"/>
      <c r="E32" s="410"/>
      <c r="F32" s="410"/>
      <c r="G32" s="410"/>
      <c r="H32" s="410"/>
      <c r="I32" s="410"/>
      <c r="J32" s="410"/>
      <c r="K32" s="410"/>
      <c r="L32" s="410"/>
      <c r="M32" s="410"/>
      <c r="N32" s="410"/>
      <c r="O32" s="410"/>
      <c r="P32" s="410"/>
      <c r="Q32" s="410"/>
      <c r="R32" s="410"/>
      <c r="S32" s="410"/>
      <c r="T32" s="410"/>
      <c r="U32" s="410"/>
      <c r="V32" s="410"/>
      <c r="W32" s="353"/>
    </row>
    <row r="33" spans="1:23" s="354" customFormat="1" ht="23.1" customHeight="1">
      <c r="A33" s="409"/>
      <c r="B33" s="409"/>
      <c r="C33" s="410"/>
      <c r="D33" s="410"/>
      <c r="E33" s="410"/>
      <c r="F33" s="410"/>
      <c r="G33" s="410"/>
      <c r="H33" s="410"/>
      <c r="I33" s="410"/>
      <c r="J33" s="410"/>
      <c r="K33" s="410"/>
      <c r="L33" s="410"/>
      <c r="M33" s="410"/>
      <c r="N33" s="410"/>
      <c r="O33" s="410"/>
      <c r="P33" s="410"/>
      <c r="Q33" s="410"/>
      <c r="R33" s="410"/>
      <c r="S33" s="410"/>
      <c r="T33" s="410"/>
      <c r="U33" s="410"/>
      <c r="V33" s="410"/>
      <c r="W33" s="353"/>
    </row>
    <row r="34" spans="1:23" s="354" customFormat="1" ht="23.1" customHeight="1">
      <c r="A34" s="409"/>
      <c r="B34" s="409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0"/>
      <c r="T34" s="410"/>
      <c r="U34" s="410"/>
      <c r="V34" s="410"/>
      <c r="W34" s="353"/>
    </row>
    <row r="35" spans="1:23" s="354" customFormat="1" ht="23.1" customHeight="1">
      <c r="A35" s="409"/>
      <c r="B35" s="409"/>
      <c r="C35" s="410"/>
      <c r="D35" s="410"/>
      <c r="E35" s="410"/>
      <c r="F35" s="410"/>
      <c r="G35" s="410"/>
      <c r="H35" s="410"/>
      <c r="I35" s="410"/>
      <c r="J35" s="410"/>
      <c r="K35" s="410"/>
      <c r="L35" s="410"/>
      <c r="M35" s="410"/>
      <c r="N35" s="410"/>
      <c r="O35" s="410"/>
      <c r="P35" s="410"/>
      <c r="Q35" s="410"/>
      <c r="R35" s="410"/>
      <c r="S35" s="410"/>
      <c r="T35" s="410"/>
      <c r="U35" s="410"/>
      <c r="V35" s="410"/>
      <c r="W35" s="353"/>
    </row>
    <row r="36" spans="1:23" s="354" customFormat="1" ht="23.1" customHeight="1">
      <c r="A36" s="409"/>
      <c r="B36" s="409"/>
      <c r="C36" s="410"/>
      <c r="D36" s="410"/>
      <c r="E36" s="410"/>
      <c r="F36" s="410"/>
      <c r="G36" s="410"/>
      <c r="H36" s="410"/>
      <c r="I36" s="410"/>
      <c r="J36" s="410"/>
      <c r="K36" s="410"/>
      <c r="L36" s="410"/>
      <c r="M36" s="410"/>
      <c r="N36" s="410"/>
      <c r="O36" s="410"/>
      <c r="P36" s="410"/>
      <c r="Q36" s="410"/>
      <c r="R36" s="410"/>
      <c r="S36" s="410"/>
      <c r="T36" s="410"/>
      <c r="U36" s="410"/>
      <c r="V36" s="410"/>
      <c r="W36" s="353"/>
    </row>
    <row r="37" spans="1:23" s="354" customFormat="1" ht="23.1" customHeight="1">
      <c r="A37" s="409"/>
      <c r="B37" s="409"/>
      <c r="C37" s="410"/>
      <c r="D37" s="410"/>
      <c r="E37" s="410"/>
      <c r="F37" s="410"/>
      <c r="G37" s="410"/>
      <c r="H37" s="410"/>
      <c r="I37" s="410"/>
      <c r="J37" s="410"/>
      <c r="K37" s="410"/>
      <c r="L37" s="410"/>
      <c r="M37" s="410"/>
      <c r="N37" s="410"/>
      <c r="O37" s="410"/>
      <c r="P37" s="410"/>
      <c r="Q37" s="410"/>
      <c r="R37" s="410"/>
      <c r="S37" s="410"/>
      <c r="T37" s="410"/>
      <c r="U37" s="410"/>
      <c r="V37" s="410"/>
      <c r="W37" s="353"/>
    </row>
    <row r="38" spans="1:23" s="354" customFormat="1" ht="23.1" customHeight="1">
      <c r="A38" s="409"/>
      <c r="B38" s="409"/>
      <c r="C38" s="410"/>
      <c r="D38" s="410"/>
      <c r="E38" s="410"/>
      <c r="F38" s="410"/>
      <c r="G38" s="410"/>
      <c r="H38" s="410"/>
      <c r="I38" s="410"/>
      <c r="J38" s="410"/>
      <c r="K38" s="410"/>
      <c r="L38" s="410"/>
      <c r="M38" s="410"/>
      <c r="N38" s="410"/>
      <c r="O38" s="410"/>
      <c r="P38" s="410"/>
      <c r="Q38" s="410"/>
      <c r="R38" s="410"/>
      <c r="S38" s="410"/>
      <c r="T38" s="410"/>
      <c r="U38" s="410"/>
      <c r="V38" s="410"/>
      <c r="W38" s="353"/>
    </row>
    <row r="39" spans="1:23" s="354" customFormat="1" ht="23.1" customHeight="1">
      <c r="A39" s="409"/>
      <c r="B39" s="409"/>
      <c r="C39" s="410"/>
      <c r="D39" s="410"/>
      <c r="E39" s="410"/>
      <c r="F39" s="410"/>
      <c r="G39" s="410"/>
      <c r="H39" s="410"/>
      <c r="I39" s="410"/>
      <c r="J39" s="410"/>
      <c r="K39" s="410"/>
      <c r="L39" s="410"/>
      <c r="M39" s="410"/>
      <c r="N39" s="410"/>
      <c r="O39" s="410"/>
      <c r="P39" s="410"/>
      <c r="Q39" s="410"/>
      <c r="R39" s="410"/>
      <c r="S39" s="410"/>
      <c r="T39" s="410"/>
      <c r="U39" s="410"/>
      <c r="V39" s="410"/>
      <c r="W39" s="353"/>
    </row>
    <row r="40" spans="1:23" s="354" customFormat="1" ht="23.1" customHeight="1">
      <c r="A40" s="409"/>
      <c r="B40" s="409"/>
      <c r="C40" s="410"/>
      <c r="D40" s="410"/>
      <c r="E40" s="410"/>
      <c r="F40" s="410"/>
      <c r="G40" s="410"/>
      <c r="H40" s="410"/>
      <c r="I40" s="410"/>
      <c r="J40" s="410"/>
      <c r="K40" s="410"/>
      <c r="L40" s="410"/>
      <c r="M40" s="410"/>
      <c r="N40" s="410"/>
      <c r="O40" s="410"/>
      <c r="P40" s="410"/>
      <c r="Q40" s="410"/>
      <c r="R40" s="410"/>
      <c r="S40" s="410"/>
      <c r="T40" s="410"/>
      <c r="U40" s="410"/>
      <c r="V40" s="410"/>
      <c r="W40" s="353"/>
    </row>
    <row r="41" spans="1:23" s="354" customFormat="1" ht="23.1" customHeight="1">
      <c r="A41" s="409"/>
      <c r="B41" s="409"/>
      <c r="C41" s="410"/>
      <c r="D41" s="410"/>
      <c r="E41" s="410"/>
      <c r="F41" s="410"/>
      <c r="G41" s="410"/>
      <c r="H41" s="410"/>
      <c r="I41" s="410"/>
      <c r="J41" s="410"/>
      <c r="K41" s="410"/>
      <c r="L41" s="410"/>
      <c r="M41" s="410"/>
      <c r="N41" s="410"/>
      <c r="O41" s="410"/>
      <c r="P41" s="410"/>
      <c r="Q41" s="410"/>
      <c r="R41" s="410"/>
      <c r="S41" s="410"/>
      <c r="T41" s="410"/>
      <c r="U41" s="410"/>
      <c r="V41" s="410"/>
      <c r="W41" s="353"/>
    </row>
    <row r="42" spans="1:23" s="354" customFormat="1" ht="23.1" customHeight="1">
      <c r="A42" s="409"/>
      <c r="B42" s="409"/>
      <c r="C42" s="410"/>
      <c r="D42" s="410"/>
      <c r="E42" s="410"/>
      <c r="F42" s="410"/>
      <c r="G42" s="410"/>
      <c r="H42" s="410"/>
      <c r="I42" s="410"/>
      <c r="J42" s="410"/>
      <c r="K42" s="410"/>
      <c r="L42" s="410"/>
      <c r="M42" s="410"/>
      <c r="N42" s="410"/>
      <c r="O42" s="410"/>
      <c r="P42" s="410"/>
      <c r="Q42" s="410"/>
      <c r="R42" s="410"/>
      <c r="S42" s="410"/>
      <c r="T42" s="410"/>
      <c r="U42" s="410"/>
      <c r="V42" s="410"/>
      <c r="W42" s="353"/>
    </row>
    <row r="43" spans="1:23" s="354" customFormat="1" ht="23.1" customHeight="1">
      <c r="A43" s="409"/>
      <c r="B43" s="409"/>
      <c r="C43" s="410"/>
      <c r="D43" s="410"/>
      <c r="E43" s="410"/>
      <c r="F43" s="410"/>
      <c r="G43" s="410"/>
      <c r="H43" s="410"/>
      <c r="I43" s="410"/>
      <c r="J43" s="410"/>
      <c r="K43" s="410"/>
      <c r="L43" s="410"/>
      <c r="M43" s="410"/>
      <c r="N43" s="410"/>
      <c r="O43" s="410"/>
      <c r="P43" s="410"/>
      <c r="Q43" s="410"/>
      <c r="R43" s="410"/>
      <c r="S43" s="410"/>
      <c r="T43" s="410"/>
      <c r="U43" s="410"/>
      <c r="V43" s="410"/>
      <c r="W43" s="353"/>
    </row>
    <row r="44" spans="1:23" s="354" customFormat="1" ht="23.1" customHeight="1">
      <c r="A44" s="409"/>
      <c r="B44" s="409"/>
      <c r="C44" s="410"/>
      <c r="D44" s="410"/>
      <c r="E44" s="410"/>
      <c r="F44" s="410"/>
      <c r="G44" s="410"/>
      <c r="H44" s="410"/>
      <c r="I44" s="410"/>
      <c r="J44" s="410"/>
      <c r="K44" s="410"/>
      <c r="L44" s="410"/>
      <c r="M44" s="410"/>
      <c r="N44" s="410"/>
      <c r="O44" s="410"/>
      <c r="P44" s="410"/>
      <c r="Q44" s="410"/>
      <c r="R44" s="410"/>
      <c r="S44" s="410"/>
      <c r="T44" s="410"/>
      <c r="U44" s="410"/>
      <c r="V44" s="410"/>
      <c r="W44" s="353"/>
    </row>
    <row r="45" spans="1:23" s="354" customFormat="1" ht="23.1" customHeight="1">
      <c r="A45" s="409"/>
      <c r="B45" s="409"/>
      <c r="C45" s="410"/>
      <c r="D45" s="410"/>
      <c r="E45" s="410"/>
      <c r="F45" s="410"/>
      <c r="G45" s="410"/>
      <c r="H45" s="410"/>
      <c r="I45" s="410"/>
      <c r="J45" s="410"/>
      <c r="K45" s="410"/>
      <c r="L45" s="410"/>
      <c r="M45" s="410"/>
      <c r="N45" s="410"/>
      <c r="O45" s="410"/>
      <c r="P45" s="410"/>
      <c r="Q45" s="410"/>
      <c r="R45" s="410"/>
      <c r="S45" s="410"/>
      <c r="T45" s="410"/>
      <c r="U45" s="410"/>
      <c r="V45" s="410"/>
      <c r="W45" s="353"/>
    </row>
    <row r="46" spans="1:23" s="354" customFormat="1" ht="23.1" customHeight="1">
      <c r="A46" s="409"/>
      <c r="B46" s="409"/>
      <c r="C46" s="410"/>
      <c r="D46" s="410"/>
      <c r="E46" s="410"/>
      <c r="F46" s="410"/>
      <c r="G46" s="410"/>
      <c r="H46" s="410"/>
      <c r="I46" s="410"/>
      <c r="J46" s="410"/>
      <c r="K46" s="410"/>
      <c r="L46" s="410"/>
      <c r="M46" s="410"/>
      <c r="N46" s="410"/>
      <c r="O46" s="410"/>
      <c r="P46" s="410"/>
      <c r="Q46" s="410"/>
      <c r="R46" s="410"/>
      <c r="S46" s="410"/>
      <c r="T46" s="410"/>
      <c r="U46" s="410"/>
      <c r="V46" s="410"/>
      <c r="W46" s="353"/>
    </row>
    <row r="47" spans="1:23" s="354" customFormat="1" ht="23.1" customHeight="1">
      <c r="A47" s="409"/>
      <c r="B47" s="409"/>
      <c r="C47" s="410"/>
      <c r="D47" s="410"/>
      <c r="E47" s="410"/>
      <c r="F47" s="410"/>
      <c r="G47" s="410"/>
      <c r="H47" s="410"/>
      <c r="I47" s="410"/>
      <c r="J47" s="410"/>
      <c r="K47" s="410"/>
      <c r="L47" s="410"/>
      <c r="M47" s="410"/>
      <c r="N47" s="410"/>
      <c r="O47" s="410"/>
      <c r="P47" s="410"/>
      <c r="Q47" s="410"/>
      <c r="R47" s="410"/>
      <c r="S47" s="410"/>
      <c r="T47" s="410"/>
      <c r="U47" s="410"/>
      <c r="V47" s="410"/>
      <c r="W47" s="353"/>
    </row>
    <row r="48" spans="1:23" s="354" customFormat="1" ht="23.1" customHeight="1">
      <c r="A48" s="409"/>
      <c r="B48" s="409"/>
      <c r="C48" s="410"/>
      <c r="D48" s="410"/>
      <c r="E48" s="410"/>
      <c r="F48" s="410"/>
      <c r="G48" s="410"/>
      <c r="H48" s="410"/>
      <c r="I48" s="410"/>
      <c r="J48" s="410"/>
      <c r="K48" s="410"/>
      <c r="L48" s="410"/>
      <c r="M48" s="410"/>
      <c r="N48" s="410"/>
      <c r="O48" s="410"/>
      <c r="P48" s="410"/>
      <c r="Q48" s="410"/>
      <c r="R48" s="410"/>
      <c r="S48" s="410"/>
      <c r="T48" s="410"/>
      <c r="U48" s="410"/>
      <c r="V48" s="410"/>
      <c r="W48" s="353"/>
    </row>
    <row r="49" spans="1:23" s="354" customFormat="1" ht="23.1" customHeight="1">
      <c r="A49" s="409"/>
      <c r="B49" s="409"/>
      <c r="C49" s="410"/>
      <c r="D49" s="410"/>
      <c r="E49" s="410"/>
      <c r="F49" s="410"/>
      <c r="G49" s="410"/>
      <c r="H49" s="410"/>
      <c r="I49" s="410"/>
      <c r="J49" s="410"/>
      <c r="K49" s="410"/>
      <c r="L49" s="410"/>
      <c r="M49" s="410"/>
      <c r="N49" s="410"/>
      <c r="O49" s="410"/>
      <c r="P49" s="410"/>
      <c r="Q49" s="410"/>
      <c r="R49" s="410"/>
      <c r="S49" s="410"/>
      <c r="T49" s="410"/>
      <c r="U49" s="410"/>
      <c r="V49" s="410"/>
      <c r="W49" s="353"/>
    </row>
    <row r="50" spans="1:23" s="354" customFormat="1" ht="23.1" customHeight="1">
      <c r="A50" s="409"/>
      <c r="B50" s="409"/>
      <c r="C50" s="410"/>
      <c r="D50" s="410"/>
      <c r="E50" s="410"/>
      <c r="F50" s="410"/>
      <c r="G50" s="410"/>
      <c r="H50" s="410"/>
      <c r="I50" s="410"/>
      <c r="J50" s="410"/>
      <c r="K50" s="410"/>
      <c r="L50" s="410"/>
      <c r="M50" s="410"/>
      <c r="N50" s="410"/>
      <c r="O50" s="410"/>
      <c r="P50" s="410"/>
      <c r="Q50" s="410"/>
      <c r="R50" s="410"/>
      <c r="S50" s="410"/>
      <c r="T50" s="410"/>
      <c r="U50" s="410"/>
      <c r="V50" s="410"/>
      <c r="W50" s="353"/>
    </row>
    <row r="51" spans="1:23" s="354" customFormat="1" ht="23.1" customHeight="1">
      <c r="A51" s="409"/>
      <c r="B51" s="409"/>
      <c r="C51" s="410"/>
      <c r="D51" s="410"/>
      <c r="E51" s="410"/>
      <c r="F51" s="410"/>
      <c r="G51" s="410"/>
      <c r="H51" s="410"/>
      <c r="I51" s="410"/>
      <c r="J51" s="410"/>
      <c r="K51" s="410"/>
      <c r="L51" s="410"/>
      <c r="M51" s="410"/>
      <c r="N51" s="410"/>
      <c r="O51" s="410"/>
      <c r="P51" s="410"/>
      <c r="Q51" s="410"/>
      <c r="R51" s="410"/>
      <c r="S51" s="410"/>
      <c r="T51" s="410"/>
      <c r="U51" s="410"/>
      <c r="V51" s="410"/>
      <c r="W51" s="353"/>
    </row>
    <row r="52" spans="1:23" s="354" customFormat="1" ht="23.1" customHeight="1">
      <c r="A52" s="409"/>
      <c r="B52" s="409"/>
      <c r="C52" s="410"/>
      <c r="D52" s="410"/>
      <c r="E52" s="410"/>
      <c r="F52" s="410"/>
      <c r="G52" s="410"/>
      <c r="H52" s="410"/>
      <c r="I52" s="410"/>
      <c r="J52" s="410"/>
      <c r="K52" s="410"/>
      <c r="L52" s="410"/>
      <c r="M52" s="410"/>
      <c r="N52" s="410"/>
      <c r="O52" s="410"/>
      <c r="P52" s="410"/>
      <c r="Q52" s="410"/>
      <c r="R52" s="410"/>
      <c r="S52" s="410"/>
      <c r="T52" s="410"/>
      <c r="U52" s="410"/>
      <c r="V52" s="410"/>
      <c r="W52" s="353"/>
    </row>
    <row r="53" spans="1:23" s="352" customFormat="1" ht="20.100000000000001" customHeight="1">
      <c r="A53" s="409"/>
      <c r="B53" s="409"/>
      <c r="C53" s="410"/>
      <c r="D53" s="410"/>
      <c r="E53" s="410"/>
      <c r="F53" s="410"/>
      <c r="G53" s="410"/>
      <c r="H53" s="410"/>
      <c r="I53" s="410"/>
      <c r="J53" s="410"/>
      <c r="K53" s="410"/>
      <c r="L53" s="410"/>
      <c r="M53" s="410"/>
      <c r="N53" s="410"/>
      <c r="O53" s="410"/>
      <c r="P53" s="410"/>
      <c r="Q53" s="410"/>
      <c r="R53" s="410"/>
      <c r="S53" s="410"/>
      <c r="T53" s="410"/>
      <c r="U53" s="410"/>
      <c r="V53" s="410"/>
    </row>
    <row r="54" spans="1:23" s="352" customFormat="1" ht="9.9499999999999993" customHeight="1">
      <c r="A54" s="409"/>
      <c r="B54" s="409"/>
      <c r="C54" s="410"/>
      <c r="D54" s="410"/>
      <c r="E54" s="410"/>
      <c r="F54" s="410"/>
      <c r="G54" s="410"/>
      <c r="H54" s="410"/>
      <c r="I54" s="410"/>
      <c r="J54" s="410"/>
      <c r="K54" s="410"/>
      <c r="L54" s="410"/>
      <c r="M54" s="410"/>
      <c r="N54" s="410"/>
      <c r="O54" s="410"/>
      <c r="P54" s="410"/>
      <c r="Q54" s="410"/>
      <c r="R54" s="410"/>
      <c r="S54" s="410"/>
      <c r="T54" s="410"/>
      <c r="U54" s="410"/>
      <c r="V54" s="410"/>
    </row>
    <row r="55" spans="1:23" s="354" customFormat="1" ht="27.95" customHeight="1">
      <c r="A55" s="409"/>
      <c r="B55" s="409"/>
      <c r="C55" s="410"/>
      <c r="D55" s="410"/>
      <c r="E55" s="410"/>
      <c r="F55" s="410"/>
      <c r="G55" s="410"/>
      <c r="H55" s="410"/>
      <c r="I55" s="410"/>
      <c r="J55" s="410"/>
      <c r="K55" s="410"/>
      <c r="L55" s="410"/>
      <c r="M55" s="410"/>
      <c r="N55" s="410"/>
      <c r="O55" s="410"/>
      <c r="P55" s="410"/>
      <c r="Q55" s="410"/>
      <c r="R55" s="410"/>
      <c r="S55" s="410"/>
      <c r="T55" s="410"/>
      <c r="U55" s="410"/>
      <c r="V55" s="410"/>
      <c r="W55" s="353"/>
    </row>
    <row r="56" spans="1:23" s="354" customFormat="1" ht="27.95" customHeight="1">
      <c r="A56" s="409"/>
      <c r="B56" s="409"/>
      <c r="C56" s="410"/>
      <c r="D56" s="410"/>
      <c r="E56" s="410"/>
      <c r="F56" s="410"/>
      <c r="G56" s="410"/>
      <c r="H56" s="410"/>
      <c r="I56" s="410"/>
      <c r="J56" s="410"/>
      <c r="K56" s="410"/>
      <c r="L56" s="410"/>
      <c r="M56" s="410"/>
      <c r="N56" s="410"/>
      <c r="O56" s="410"/>
      <c r="P56" s="410"/>
      <c r="Q56" s="410"/>
      <c r="R56" s="410"/>
      <c r="S56" s="410"/>
      <c r="T56" s="410"/>
      <c r="U56" s="410"/>
      <c r="V56" s="410"/>
      <c r="W56" s="353"/>
    </row>
    <row r="57" spans="1:23" s="354" customFormat="1" ht="23.1" customHeight="1">
      <c r="A57" s="409"/>
      <c r="B57" s="409"/>
      <c r="C57" s="410"/>
      <c r="D57" s="410"/>
      <c r="E57" s="410"/>
      <c r="F57" s="410"/>
      <c r="G57" s="410"/>
      <c r="H57" s="410"/>
      <c r="I57" s="410"/>
      <c r="J57" s="410"/>
      <c r="K57" s="410"/>
      <c r="L57" s="410"/>
      <c r="M57" s="410"/>
      <c r="N57" s="410"/>
      <c r="O57" s="410"/>
      <c r="P57" s="410"/>
      <c r="Q57" s="410"/>
      <c r="R57" s="410"/>
      <c r="S57" s="410"/>
      <c r="T57" s="410"/>
      <c r="U57" s="410"/>
      <c r="V57" s="410"/>
      <c r="W57" s="353"/>
    </row>
    <row r="58" spans="1:23" s="354" customFormat="1" ht="23.1" customHeight="1">
      <c r="A58" s="409"/>
      <c r="B58" s="409"/>
      <c r="C58" s="410"/>
      <c r="D58" s="410"/>
      <c r="E58" s="410"/>
      <c r="F58" s="410"/>
      <c r="G58" s="410"/>
      <c r="H58" s="410"/>
      <c r="I58" s="410"/>
      <c r="J58" s="410"/>
      <c r="K58" s="410"/>
      <c r="L58" s="410"/>
      <c r="M58" s="410"/>
      <c r="N58" s="410"/>
      <c r="O58" s="410"/>
      <c r="P58" s="410"/>
      <c r="Q58" s="410"/>
      <c r="R58" s="410"/>
      <c r="S58" s="410"/>
      <c r="T58" s="410"/>
      <c r="U58" s="410"/>
      <c r="V58" s="410"/>
      <c r="W58" s="353"/>
    </row>
    <row r="59" spans="1:23" s="354" customFormat="1" ht="23.1" customHeight="1">
      <c r="A59" s="409"/>
      <c r="B59" s="409"/>
      <c r="C59" s="410"/>
      <c r="D59" s="410"/>
      <c r="E59" s="410"/>
      <c r="F59" s="410"/>
      <c r="G59" s="410"/>
      <c r="H59" s="410"/>
      <c r="I59" s="410"/>
      <c r="J59" s="410"/>
      <c r="K59" s="410"/>
      <c r="L59" s="410"/>
      <c r="M59" s="410"/>
      <c r="N59" s="410"/>
      <c r="O59" s="410"/>
      <c r="P59" s="410"/>
      <c r="Q59" s="410"/>
      <c r="R59" s="410"/>
      <c r="S59" s="410"/>
      <c r="T59" s="410"/>
      <c r="U59" s="410"/>
      <c r="V59" s="410"/>
      <c r="W59" s="353"/>
    </row>
    <row r="60" spans="1:23" s="354" customFormat="1" ht="23.1" customHeight="1">
      <c r="A60" s="409"/>
      <c r="B60" s="409"/>
      <c r="C60" s="410"/>
      <c r="D60" s="410"/>
      <c r="E60" s="410"/>
      <c r="F60" s="410"/>
      <c r="G60" s="410"/>
      <c r="H60" s="410"/>
      <c r="I60" s="410"/>
      <c r="J60" s="410"/>
      <c r="K60" s="410"/>
      <c r="L60" s="410"/>
      <c r="M60" s="410"/>
      <c r="N60" s="410"/>
      <c r="O60" s="410"/>
      <c r="P60" s="410"/>
      <c r="Q60" s="410"/>
      <c r="R60" s="410"/>
      <c r="S60" s="410"/>
      <c r="T60" s="410"/>
      <c r="U60" s="410"/>
      <c r="V60" s="410"/>
      <c r="W60" s="353"/>
    </row>
    <row r="61" spans="1:23" s="354" customFormat="1" ht="23.1" customHeight="1">
      <c r="A61" s="409"/>
      <c r="B61" s="409"/>
      <c r="C61" s="410"/>
      <c r="D61" s="410"/>
      <c r="E61" s="410"/>
      <c r="F61" s="410"/>
      <c r="G61" s="410"/>
      <c r="H61" s="410"/>
      <c r="I61" s="410"/>
      <c r="J61" s="410"/>
      <c r="K61" s="410"/>
      <c r="L61" s="410"/>
      <c r="M61" s="410"/>
      <c r="N61" s="410"/>
      <c r="O61" s="410"/>
      <c r="P61" s="410"/>
      <c r="Q61" s="410"/>
      <c r="R61" s="410"/>
      <c r="S61" s="410"/>
      <c r="T61" s="410"/>
      <c r="U61" s="410"/>
      <c r="V61" s="410"/>
      <c r="W61" s="353"/>
    </row>
    <row r="62" spans="1:23" s="354" customFormat="1" ht="23.1" customHeight="1">
      <c r="A62" s="409"/>
      <c r="B62" s="409"/>
      <c r="C62" s="410"/>
      <c r="D62" s="410"/>
      <c r="E62" s="410"/>
      <c r="F62" s="410"/>
      <c r="G62" s="410"/>
      <c r="H62" s="410"/>
      <c r="I62" s="410"/>
      <c r="J62" s="410"/>
      <c r="K62" s="410"/>
      <c r="L62" s="410"/>
      <c r="M62" s="410"/>
      <c r="N62" s="410"/>
      <c r="O62" s="410"/>
      <c r="P62" s="410"/>
      <c r="Q62" s="410"/>
      <c r="R62" s="410"/>
      <c r="S62" s="410"/>
      <c r="T62" s="410"/>
      <c r="U62" s="410"/>
      <c r="V62" s="410"/>
      <c r="W62" s="353"/>
    </row>
    <row r="63" spans="1:23" s="354" customFormat="1" ht="23.1" customHeight="1">
      <c r="A63" s="409"/>
      <c r="B63" s="409"/>
      <c r="C63" s="410"/>
      <c r="D63" s="410"/>
      <c r="E63" s="410"/>
      <c r="F63" s="410"/>
      <c r="G63" s="410"/>
      <c r="H63" s="410"/>
      <c r="I63" s="410"/>
      <c r="J63" s="410"/>
      <c r="K63" s="410"/>
      <c r="L63" s="410"/>
      <c r="M63" s="410"/>
      <c r="N63" s="410"/>
      <c r="O63" s="410"/>
      <c r="P63" s="410"/>
      <c r="Q63" s="410"/>
      <c r="R63" s="410"/>
      <c r="S63" s="410"/>
      <c r="T63" s="410"/>
      <c r="U63" s="410"/>
      <c r="V63" s="410"/>
      <c r="W63" s="353"/>
    </row>
    <row r="64" spans="1:23" s="354" customFormat="1" ht="23.1" customHeight="1">
      <c r="A64" s="409"/>
      <c r="B64" s="409"/>
      <c r="C64" s="410"/>
      <c r="D64" s="410"/>
      <c r="E64" s="410"/>
      <c r="F64" s="410"/>
      <c r="G64" s="410"/>
      <c r="H64" s="410"/>
      <c r="I64" s="410"/>
      <c r="J64" s="410"/>
      <c r="K64" s="410"/>
      <c r="L64" s="410"/>
      <c r="M64" s="410"/>
      <c r="N64" s="410"/>
      <c r="O64" s="410"/>
      <c r="P64" s="410"/>
      <c r="Q64" s="410"/>
      <c r="R64" s="410"/>
      <c r="S64" s="410"/>
      <c r="T64" s="410"/>
      <c r="U64" s="410"/>
      <c r="V64" s="410"/>
      <c r="W64" s="353"/>
    </row>
    <row r="65" spans="1:23" s="354" customFormat="1" ht="23.1" customHeight="1">
      <c r="A65" s="409"/>
      <c r="B65" s="409"/>
      <c r="C65" s="410"/>
      <c r="D65" s="410"/>
      <c r="E65" s="410"/>
      <c r="F65" s="410"/>
      <c r="G65" s="410"/>
      <c r="H65" s="410"/>
      <c r="I65" s="410"/>
      <c r="J65" s="410"/>
      <c r="K65" s="410"/>
      <c r="L65" s="410"/>
      <c r="M65" s="410"/>
      <c r="N65" s="410"/>
      <c r="O65" s="410"/>
      <c r="P65" s="410"/>
      <c r="Q65" s="410"/>
      <c r="R65" s="410"/>
      <c r="S65" s="410"/>
      <c r="T65" s="410"/>
      <c r="U65" s="410"/>
      <c r="V65" s="410"/>
      <c r="W65" s="353"/>
    </row>
    <row r="66" spans="1:23" s="354" customFormat="1" ht="23.1" customHeight="1">
      <c r="A66" s="409"/>
      <c r="B66" s="409"/>
      <c r="C66" s="410"/>
      <c r="D66" s="410"/>
      <c r="E66" s="410"/>
      <c r="F66" s="410"/>
      <c r="G66" s="410"/>
      <c r="H66" s="410"/>
      <c r="I66" s="410"/>
      <c r="J66" s="410"/>
      <c r="K66" s="410"/>
      <c r="L66" s="410"/>
      <c r="M66" s="410"/>
      <c r="N66" s="410"/>
      <c r="O66" s="410"/>
      <c r="P66" s="410"/>
      <c r="Q66" s="410"/>
      <c r="R66" s="410"/>
      <c r="S66" s="410"/>
      <c r="T66" s="410"/>
      <c r="U66" s="410"/>
      <c r="V66" s="410"/>
      <c r="W66" s="353"/>
    </row>
    <row r="67" spans="1:23" s="354" customFormat="1" ht="23.1" customHeight="1">
      <c r="A67" s="409"/>
      <c r="B67" s="409"/>
      <c r="C67" s="410"/>
      <c r="D67" s="410"/>
      <c r="E67" s="410"/>
      <c r="F67" s="410"/>
      <c r="G67" s="410"/>
      <c r="H67" s="410"/>
      <c r="I67" s="410"/>
      <c r="J67" s="410"/>
      <c r="K67" s="410"/>
      <c r="L67" s="410"/>
      <c r="M67" s="410"/>
      <c r="N67" s="410"/>
      <c r="O67" s="410"/>
      <c r="P67" s="410"/>
      <c r="Q67" s="410"/>
      <c r="R67" s="410"/>
      <c r="S67" s="410"/>
      <c r="T67" s="410"/>
      <c r="U67" s="410"/>
      <c r="V67" s="410"/>
      <c r="W67" s="353"/>
    </row>
    <row r="68" spans="1:23" s="354" customFormat="1" ht="23.1" customHeight="1">
      <c r="A68" s="409"/>
      <c r="B68" s="409"/>
      <c r="C68" s="410"/>
      <c r="D68" s="410"/>
      <c r="E68" s="410"/>
      <c r="F68" s="410"/>
      <c r="G68" s="410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0"/>
      <c r="S68" s="410"/>
      <c r="T68" s="410"/>
      <c r="U68" s="410"/>
      <c r="V68" s="410"/>
      <c r="W68" s="353"/>
    </row>
    <row r="69" spans="1:23" s="354" customFormat="1" ht="23.1" customHeight="1">
      <c r="A69" s="409"/>
      <c r="B69" s="409"/>
      <c r="C69" s="410"/>
      <c r="D69" s="410"/>
      <c r="E69" s="410"/>
      <c r="F69" s="410"/>
      <c r="G69" s="410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0"/>
      <c r="S69" s="410"/>
      <c r="T69" s="410"/>
      <c r="U69" s="410"/>
      <c r="V69" s="410"/>
      <c r="W69" s="353"/>
    </row>
    <row r="70" spans="1:23" s="354" customFormat="1" ht="23.1" customHeight="1">
      <c r="A70" s="409"/>
      <c r="B70" s="409"/>
      <c r="C70" s="410"/>
      <c r="D70" s="410"/>
      <c r="E70" s="410"/>
      <c r="F70" s="410"/>
      <c r="G70" s="410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0"/>
      <c r="S70" s="410"/>
      <c r="T70" s="410"/>
      <c r="U70" s="410"/>
      <c r="V70" s="410"/>
      <c r="W70" s="353"/>
    </row>
    <row r="71" spans="1:23" s="354" customFormat="1" ht="23.1" customHeight="1">
      <c r="A71" s="409"/>
      <c r="B71" s="409"/>
      <c r="C71" s="410"/>
      <c r="D71" s="410"/>
      <c r="E71" s="410"/>
      <c r="F71" s="410"/>
      <c r="G71" s="410"/>
      <c r="H71" s="410"/>
      <c r="I71" s="410"/>
      <c r="J71" s="410"/>
      <c r="K71" s="410"/>
      <c r="L71" s="410"/>
      <c r="M71" s="410"/>
      <c r="N71" s="410"/>
      <c r="O71" s="410"/>
      <c r="P71" s="410"/>
      <c r="Q71" s="410"/>
      <c r="R71" s="410"/>
      <c r="S71" s="410"/>
      <c r="T71" s="410"/>
      <c r="U71" s="410"/>
      <c r="V71" s="410"/>
      <c r="W71" s="353"/>
    </row>
    <row r="72" spans="1:23" s="354" customFormat="1" ht="23.1" customHeight="1">
      <c r="A72" s="409"/>
      <c r="B72" s="409"/>
      <c r="C72" s="410"/>
      <c r="D72" s="410"/>
      <c r="E72" s="410"/>
      <c r="F72" s="410"/>
      <c r="G72" s="410"/>
      <c r="H72" s="410"/>
      <c r="I72" s="410"/>
      <c r="J72" s="410"/>
      <c r="K72" s="410"/>
      <c r="L72" s="410"/>
      <c r="M72" s="410"/>
      <c r="N72" s="410"/>
      <c r="O72" s="410"/>
      <c r="P72" s="410"/>
      <c r="Q72" s="410"/>
      <c r="R72" s="410"/>
      <c r="S72" s="410"/>
      <c r="T72" s="410"/>
      <c r="U72" s="410"/>
      <c r="V72" s="410"/>
      <c r="W72" s="353"/>
    </row>
    <row r="73" spans="1:23" s="354" customFormat="1" ht="23.1" customHeight="1">
      <c r="A73" s="409"/>
      <c r="B73" s="409"/>
      <c r="C73" s="410"/>
      <c r="D73" s="410"/>
      <c r="E73" s="410"/>
      <c r="F73" s="410"/>
      <c r="G73" s="410"/>
      <c r="H73" s="410"/>
      <c r="I73" s="410"/>
      <c r="J73" s="410"/>
      <c r="K73" s="410"/>
      <c r="L73" s="410"/>
      <c r="M73" s="410"/>
      <c r="N73" s="410"/>
      <c r="O73" s="410"/>
      <c r="P73" s="410"/>
      <c r="Q73" s="410"/>
      <c r="R73" s="410"/>
      <c r="S73" s="410"/>
      <c r="T73" s="410"/>
      <c r="U73" s="410"/>
      <c r="V73" s="410"/>
      <c r="W73" s="353"/>
    </row>
    <row r="74" spans="1:23" s="354" customFormat="1" ht="23.1" customHeight="1">
      <c r="A74" s="409"/>
      <c r="B74" s="409"/>
      <c r="C74" s="410"/>
      <c r="D74" s="410"/>
      <c r="E74" s="410"/>
      <c r="F74" s="410"/>
      <c r="G74" s="410"/>
      <c r="H74" s="410"/>
      <c r="I74" s="410"/>
      <c r="J74" s="410"/>
      <c r="K74" s="410"/>
      <c r="L74" s="410"/>
      <c r="M74" s="410"/>
      <c r="N74" s="410"/>
      <c r="O74" s="410"/>
      <c r="P74" s="410"/>
      <c r="Q74" s="410"/>
      <c r="R74" s="410"/>
      <c r="S74" s="410"/>
      <c r="T74" s="410"/>
      <c r="U74" s="410"/>
      <c r="V74" s="410"/>
      <c r="W74" s="353"/>
    </row>
    <row r="75" spans="1:23" s="354" customFormat="1" ht="23.1" customHeight="1">
      <c r="A75" s="409"/>
      <c r="B75" s="409"/>
      <c r="C75" s="410"/>
      <c r="D75" s="410"/>
      <c r="E75" s="410"/>
      <c r="F75" s="410"/>
      <c r="G75" s="410"/>
      <c r="H75" s="410"/>
      <c r="I75" s="410"/>
      <c r="J75" s="410"/>
      <c r="K75" s="410"/>
      <c r="L75" s="410"/>
      <c r="M75" s="410"/>
      <c r="N75" s="410"/>
      <c r="O75" s="410"/>
      <c r="P75" s="410"/>
      <c r="Q75" s="410"/>
      <c r="R75" s="410"/>
      <c r="S75" s="410"/>
      <c r="T75" s="410"/>
      <c r="U75" s="410"/>
      <c r="V75" s="410"/>
      <c r="W75" s="353"/>
    </row>
    <row r="76" spans="1:23" s="354" customFormat="1" ht="23.1" customHeight="1">
      <c r="A76" s="409"/>
      <c r="B76" s="409"/>
      <c r="C76" s="410"/>
      <c r="D76" s="410"/>
      <c r="E76" s="410"/>
      <c r="F76" s="410"/>
      <c r="G76" s="410"/>
      <c r="H76" s="410"/>
      <c r="I76" s="410"/>
      <c r="J76" s="410"/>
      <c r="K76" s="410"/>
      <c r="L76" s="410"/>
      <c r="M76" s="410"/>
      <c r="N76" s="410"/>
      <c r="O76" s="410"/>
      <c r="P76" s="410"/>
      <c r="Q76" s="410"/>
      <c r="R76" s="410"/>
      <c r="S76" s="410"/>
      <c r="T76" s="410"/>
      <c r="U76" s="410"/>
      <c r="V76" s="410"/>
      <c r="W76" s="353"/>
    </row>
    <row r="77" spans="1:23" s="354" customFormat="1" ht="23.1" customHeight="1">
      <c r="A77" s="409"/>
      <c r="B77" s="409"/>
      <c r="C77" s="410"/>
      <c r="D77" s="410"/>
      <c r="E77" s="410"/>
      <c r="F77" s="410"/>
      <c r="G77" s="410"/>
      <c r="H77" s="410"/>
      <c r="I77" s="410"/>
      <c r="J77" s="410"/>
      <c r="K77" s="410"/>
      <c r="L77" s="410"/>
      <c r="M77" s="410"/>
      <c r="N77" s="410"/>
      <c r="O77" s="410"/>
      <c r="P77" s="410"/>
      <c r="Q77" s="410"/>
      <c r="R77" s="410"/>
      <c r="S77" s="410"/>
      <c r="T77" s="410"/>
      <c r="U77" s="410"/>
      <c r="V77" s="410"/>
      <c r="W77" s="353"/>
    </row>
    <row r="78" spans="1:23" s="354" customFormat="1" ht="23.1" customHeight="1">
      <c r="A78" s="409"/>
      <c r="B78" s="409"/>
      <c r="C78" s="410"/>
      <c r="D78" s="410"/>
      <c r="E78" s="410"/>
      <c r="F78" s="410"/>
      <c r="G78" s="410"/>
      <c r="H78" s="410"/>
      <c r="I78" s="410"/>
      <c r="J78" s="410"/>
      <c r="K78" s="410"/>
      <c r="L78" s="410"/>
      <c r="M78" s="410"/>
      <c r="N78" s="410"/>
      <c r="O78" s="410"/>
      <c r="P78" s="410"/>
      <c r="Q78" s="410"/>
      <c r="R78" s="410"/>
      <c r="S78" s="410"/>
      <c r="T78" s="410"/>
      <c r="U78" s="410"/>
      <c r="V78" s="410"/>
      <c r="W78" s="353"/>
    </row>
    <row r="79" spans="1:23" s="354" customFormat="1" ht="23.1" customHeight="1">
      <c r="A79" s="409"/>
      <c r="B79" s="409"/>
      <c r="C79" s="410"/>
      <c r="D79" s="410"/>
      <c r="E79" s="410"/>
      <c r="F79" s="410"/>
      <c r="G79" s="410"/>
      <c r="H79" s="410"/>
      <c r="I79" s="410"/>
      <c r="J79" s="410"/>
      <c r="K79" s="410"/>
      <c r="L79" s="410"/>
      <c r="M79" s="410"/>
      <c r="N79" s="410"/>
      <c r="O79" s="410"/>
      <c r="P79" s="410"/>
      <c r="Q79" s="410"/>
      <c r="R79" s="410"/>
      <c r="S79" s="410"/>
      <c r="T79" s="410"/>
      <c r="U79" s="410"/>
      <c r="V79" s="410"/>
      <c r="W79" s="353"/>
    </row>
    <row r="80" spans="1:23" s="354" customFormat="1" ht="23.1" customHeight="1">
      <c r="A80" s="409"/>
      <c r="B80" s="409"/>
      <c r="C80" s="410"/>
      <c r="D80" s="410"/>
      <c r="E80" s="410"/>
      <c r="F80" s="410"/>
      <c r="G80" s="410"/>
      <c r="H80" s="410"/>
      <c r="I80" s="410"/>
      <c r="J80" s="410"/>
      <c r="K80" s="410"/>
      <c r="L80" s="410"/>
      <c r="M80" s="410"/>
      <c r="N80" s="410"/>
      <c r="O80" s="410"/>
      <c r="P80" s="410"/>
      <c r="Q80" s="410"/>
      <c r="R80" s="410"/>
      <c r="S80" s="410"/>
      <c r="T80" s="410"/>
      <c r="U80" s="410"/>
      <c r="V80" s="410"/>
      <c r="W80" s="353"/>
    </row>
    <row r="81" spans="1:23" s="354" customFormat="1" ht="23.1" customHeight="1">
      <c r="A81" s="409"/>
      <c r="B81" s="409"/>
      <c r="C81" s="410"/>
      <c r="D81" s="410"/>
      <c r="E81" s="410"/>
      <c r="F81" s="410"/>
      <c r="G81" s="410"/>
      <c r="H81" s="410"/>
      <c r="I81" s="410"/>
      <c r="J81" s="410"/>
      <c r="K81" s="410"/>
      <c r="L81" s="410"/>
      <c r="M81" s="410"/>
      <c r="N81" s="410"/>
      <c r="O81" s="410"/>
      <c r="P81" s="410"/>
      <c r="Q81" s="410"/>
      <c r="R81" s="410"/>
      <c r="S81" s="410"/>
      <c r="T81" s="410"/>
      <c r="U81" s="410"/>
      <c r="V81" s="410"/>
      <c r="W81" s="353"/>
    </row>
    <row r="82" spans="1:23" s="354" customFormat="1" ht="23.1" customHeight="1">
      <c r="A82" s="409"/>
      <c r="B82" s="409"/>
      <c r="C82" s="410"/>
      <c r="D82" s="410"/>
      <c r="E82" s="410"/>
      <c r="F82" s="410"/>
      <c r="G82" s="410"/>
      <c r="H82" s="410"/>
      <c r="I82" s="410"/>
      <c r="J82" s="410"/>
      <c r="K82" s="410"/>
      <c r="L82" s="410"/>
      <c r="M82" s="410"/>
      <c r="N82" s="410"/>
      <c r="O82" s="410"/>
      <c r="P82" s="410"/>
      <c r="Q82" s="410"/>
      <c r="R82" s="410"/>
      <c r="S82" s="410"/>
      <c r="T82" s="410"/>
      <c r="U82" s="410"/>
      <c r="V82" s="410"/>
      <c r="W82" s="353"/>
    </row>
    <row r="83" spans="1:23" s="352" customFormat="1" ht="20.100000000000001" customHeight="1">
      <c r="A83" s="409"/>
      <c r="B83" s="409"/>
      <c r="C83" s="410"/>
      <c r="D83" s="410"/>
      <c r="E83" s="410"/>
      <c r="F83" s="410"/>
      <c r="G83" s="410"/>
      <c r="H83" s="410"/>
      <c r="I83" s="410"/>
      <c r="J83" s="410"/>
      <c r="K83" s="410"/>
      <c r="L83" s="410"/>
      <c r="M83" s="410"/>
      <c r="N83" s="410"/>
      <c r="O83" s="410"/>
      <c r="P83" s="410"/>
      <c r="Q83" s="410"/>
      <c r="R83" s="410"/>
      <c r="S83" s="410"/>
      <c r="T83" s="410"/>
      <c r="U83" s="410"/>
      <c r="V83" s="410"/>
    </row>
    <row r="84" spans="1:23" s="352" customFormat="1" ht="9.9499999999999993" customHeight="1">
      <c r="A84" s="409"/>
      <c r="B84" s="409"/>
      <c r="C84" s="410"/>
      <c r="D84" s="410"/>
      <c r="E84" s="410"/>
      <c r="F84" s="410"/>
      <c r="G84" s="410"/>
      <c r="H84" s="410"/>
      <c r="I84" s="410"/>
      <c r="J84" s="410"/>
      <c r="K84" s="410"/>
      <c r="L84" s="410"/>
      <c r="M84" s="410"/>
      <c r="N84" s="410"/>
      <c r="O84" s="410"/>
      <c r="P84" s="410"/>
      <c r="Q84" s="410"/>
      <c r="R84" s="410"/>
      <c r="S84" s="410"/>
      <c r="T84" s="410"/>
      <c r="U84" s="410"/>
      <c r="V84" s="410"/>
    </row>
    <row r="85" spans="1:23" s="354" customFormat="1" ht="27.95" customHeight="1">
      <c r="A85" s="409"/>
      <c r="B85" s="409"/>
      <c r="C85" s="410"/>
      <c r="D85" s="410"/>
      <c r="E85" s="410"/>
      <c r="F85" s="410"/>
      <c r="G85" s="410"/>
      <c r="H85" s="410"/>
      <c r="I85" s="410"/>
      <c r="J85" s="410"/>
      <c r="K85" s="410"/>
      <c r="L85" s="410"/>
      <c r="M85" s="410"/>
      <c r="N85" s="410"/>
      <c r="O85" s="410"/>
      <c r="P85" s="410"/>
      <c r="Q85" s="410"/>
      <c r="R85" s="410"/>
      <c r="S85" s="410"/>
      <c r="T85" s="410"/>
      <c r="U85" s="410"/>
      <c r="V85" s="410"/>
      <c r="W85" s="353"/>
    </row>
    <row r="86" spans="1:23" s="354" customFormat="1" ht="27.95" customHeight="1">
      <c r="A86" s="409"/>
      <c r="B86" s="409"/>
      <c r="C86" s="410"/>
      <c r="D86" s="410"/>
      <c r="E86" s="410"/>
      <c r="F86" s="410"/>
      <c r="G86" s="410"/>
      <c r="H86" s="410"/>
      <c r="I86" s="410"/>
      <c r="J86" s="410"/>
      <c r="K86" s="410"/>
      <c r="L86" s="410"/>
      <c r="M86" s="410"/>
      <c r="N86" s="410"/>
      <c r="O86" s="410"/>
      <c r="P86" s="410"/>
      <c r="Q86" s="410"/>
      <c r="R86" s="410"/>
      <c r="S86" s="410"/>
      <c r="T86" s="410"/>
      <c r="U86" s="410"/>
      <c r="V86" s="410"/>
      <c r="W86" s="353"/>
    </row>
    <row r="87" spans="1:23" s="354" customFormat="1" ht="23.1" customHeight="1">
      <c r="A87" s="409"/>
      <c r="B87" s="409"/>
      <c r="C87" s="410"/>
      <c r="D87" s="410"/>
      <c r="E87" s="410"/>
      <c r="F87" s="410"/>
      <c r="G87" s="410"/>
      <c r="H87" s="410"/>
      <c r="I87" s="410"/>
      <c r="J87" s="410"/>
      <c r="K87" s="410"/>
      <c r="L87" s="410"/>
      <c r="M87" s="410"/>
      <c r="N87" s="410"/>
      <c r="O87" s="410"/>
      <c r="P87" s="410"/>
      <c r="Q87" s="410"/>
      <c r="R87" s="410"/>
      <c r="S87" s="410"/>
      <c r="T87" s="410"/>
      <c r="U87" s="410"/>
      <c r="V87" s="410"/>
      <c r="W87" s="353"/>
    </row>
    <row r="88" spans="1:23" s="354" customFormat="1" ht="23.1" customHeight="1">
      <c r="A88" s="409"/>
      <c r="B88" s="409"/>
      <c r="C88" s="410"/>
      <c r="D88" s="410"/>
      <c r="E88" s="410"/>
      <c r="F88" s="410"/>
      <c r="G88" s="410"/>
      <c r="H88" s="410"/>
      <c r="I88" s="410"/>
      <c r="J88" s="410"/>
      <c r="K88" s="410"/>
      <c r="L88" s="410"/>
      <c r="M88" s="410"/>
      <c r="N88" s="410"/>
      <c r="O88" s="410"/>
      <c r="P88" s="410"/>
      <c r="Q88" s="410"/>
      <c r="R88" s="410"/>
      <c r="S88" s="410"/>
      <c r="T88" s="410"/>
      <c r="U88" s="410"/>
      <c r="V88" s="410"/>
      <c r="W88" s="353"/>
    </row>
    <row r="89" spans="1:23" s="354" customFormat="1" ht="23.1" customHeight="1">
      <c r="A89" s="409"/>
      <c r="B89" s="409"/>
      <c r="C89" s="410"/>
      <c r="D89" s="410"/>
      <c r="E89" s="410"/>
      <c r="F89" s="410"/>
      <c r="G89" s="410"/>
      <c r="H89" s="410"/>
      <c r="I89" s="410"/>
      <c r="J89" s="410"/>
      <c r="K89" s="410"/>
      <c r="L89" s="410"/>
      <c r="M89" s="410"/>
      <c r="N89" s="410"/>
      <c r="O89" s="410"/>
      <c r="P89" s="410"/>
      <c r="Q89" s="410"/>
      <c r="R89" s="410"/>
      <c r="S89" s="410"/>
      <c r="T89" s="410"/>
      <c r="U89" s="410"/>
      <c r="V89" s="410"/>
      <c r="W89" s="353"/>
    </row>
    <row r="90" spans="1:23" s="354" customFormat="1" ht="23.1" customHeight="1">
      <c r="A90" s="409"/>
      <c r="B90" s="409"/>
      <c r="C90" s="410"/>
      <c r="D90" s="410"/>
      <c r="E90" s="410"/>
      <c r="F90" s="410"/>
      <c r="G90" s="410"/>
      <c r="H90" s="410"/>
      <c r="I90" s="410"/>
      <c r="J90" s="410"/>
      <c r="K90" s="410"/>
      <c r="L90" s="410"/>
      <c r="M90" s="410"/>
      <c r="N90" s="410"/>
      <c r="O90" s="410"/>
      <c r="P90" s="410"/>
      <c r="Q90" s="410"/>
      <c r="R90" s="410"/>
      <c r="S90" s="410"/>
      <c r="T90" s="410"/>
      <c r="U90" s="410"/>
      <c r="V90" s="410"/>
      <c r="W90" s="353"/>
    </row>
    <row r="91" spans="1:23" s="354" customFormat="1" ht="23.1" customHeight="1">
      <c r="A91" s="409"/>
      <c r="B91" s="409"/>
      <c r="C91" s="410"/>
      <c r="D91" s="410"/>
      <c r="E91" s="410"/>
      <c r="F91" s="410"/>
      <c r="G91" s="410"/>
      <c r="H91" s="410"/>
      <c r="I91" s="410"/>
      <c r="J91" s="410"/>
      <c r="K91" s="410"/>
      <c r="L91" s="410"/>
      <c r="M91" s="410"/>
      <c r="N91" s="410"/>
      <c r="O91" s="410"/>
      <c r="P91" s="410"/>
      <c r="Q91" s="410"/>
      <c r="R91" s="410"/>
      <c r="S91" s="410"/>
      <c r="T91" s="410"/>
      <c r="U91" s="410"/>
      <c r="V91" s="410"/>
      <c r="W91" s="353"/>
    </row>
    <row r="92" spans="1:23" s="354" customFormat="1" ht="23.1" customHeight="1">
      <c r="A92" s="409"/>
      <c r="B92" s="409"/>
      <c r="C92" s="410"/>
      <c r="D92" s="410"/>
      <c r="E92" s="410"/>
      <c r="F92" s="410"/>
      <c r="G92" s="410"/>
      <c r="H92" s="410"/>
      <c r="I92" s="410"/>
      <c r="J92" s="410"/>
      <c r="K92" s="410"/>
      <c r="L92" s="410"/>
      <c r="M92" s="410"/>
      <c r="N92" s="410"/>
      <c r="O92" s="410"/>
      <c r="P92" s="410"/>
      <c r="Q92" s="410"/>
      <c r="R92" s="410"/>
      <c r="S92" s="410"/>
      <c r="T92" s="410"/>
      <c r="U92" s="410"/>
      <c r="V92" s="410"/>
      <c r="W92" s="353"/>
    </row>
    <row r="93" spans="1:23" s="354" customFormat="1" ht="23.1" customHeight="1">
      <c r="A93" s="409"/>
      <c r="B93" s="409"/>
      <c r="C93" s="410"/>
      <c r="D93" s="410"/>
      <c r="E93" s="410"/>
      <c r="F93" s="410"/>
      <c r="G93" s="410"/>
      <c r="H93" s="410"/>
      <c r="I93" s="410"/>
      <c r="J93" s="410"/>
      <c r="K93" s="410"/>
      <c r="L93" s="410"/>
      <c r="M93" s="410"/>
      <c r="N93" s="410"/>
      <c r="O93" s="410"/>
      <c r="P93" s="410"/>
      <c r="Q93" s="410"/>
      <c r="R93" s="410"/>
      <c r="S93" s="410"/>
      <c r="T93" s="410"/>
      <c r="U93" s="410"/>
      <c r="V93" s="410"/>
      <c r="W93" s="353"/>
    </row>
    <row r="94" spans="1:23" s="354" customFormat="1" ht="23.1" customHeight="1">
      <c r="A94" s="409"/>
      <c r="B94" s="409"/>
      <c r="C94" s="410"/>
      <c r="D94" s="410"/>
      <c r="E94" s="410"/>
      <c r="F94" s="410"/>
      <c r="G94" s="410"/>
      <c r="H94" s="410"/>
      <c r="I94" s="410"/>
      <c r="J94" s="410"/>
      <c r="K94" s="410"/>
      <c r="L94" s="410"/>
      <c r="M94" s="410"/>
      <c r="N94" s="410"/>
      <c r="O94" s="410"/>
      <c r="P94" s="410"/>
      <c r="Q94" s="410"/>
      <c r="R94" s="410"/>
      <c r="S94" s="410"/>
      <c r="T94" s="410"/>
      <c r="U94" s="410"/>
      <c r="V94" s="410"/>
      <c r="W94" s="353"/>
    </row>
    <row r="95" spans="1:23" s="354" customFormat="1" ht="23.1" customHeight="1">
      <c r="A95" s="409"/>
      <c r="B95" s="409"/>
      <c r="C95" s="410"/>
      <c r="D95" s="410"/>
      <c r="E95" s="410"/>
      <c r="F95" s="410"/>
      <c r="G95" s="410"/>
      <c r="H95" s="410"/>
      <c r="I95" s="410"/>
      <c r="J95" s="410"/>
      <c r="K95" s="410"/>
      <c r="L95" s="410"/>
      <c r="M95" s="410"/>
      <c r="N95" s="410"/>
      <c r="O95" s="410"/>
      <c r="P95" s="410"/>
      <c r="Q95" s="410"/>
      <c r="R95" s="410"/>
      <c r="S95" s="410"/>
      <c r="T95" s="410"/>
      <c r="U95" s="410"/>
      <c r="V95" s="410"/>
      <c r="W95" s="353"/>
    </row>
    <row r="96" spans="1:23" s="354" customFormat="1" ht="23.1" customHeight="1">
      <c r="A96" s="409"/>
      <c r="B96" s="409"/>
      <c r="C96" s="410"/>
      <c r="D96" s="410"/>
      <c r="E96" s="410"/>
      <c r="F96" s="410"/>
      <c r="G96" s="410"/>
      <c r="H96" s="410"/>
      <c r="I96" s="410"/>
      <c r="J96" s="410"/>
      <c r="K96" s="410"/>
      <c r="L96" s="410"/>
      <c r="M96" s="410"/>
      <c r="N96" s="410"/>
      <c r="O96" s="410"/>
      <c r="P96" s="410"/>
      <c r="Q96" s="410"/>
      <c r="R96" s="410"/>
      <c r="S96" s="410"/>
      <c r="T96" s="410"/>
      <c r="U96" s="410"/>
      <c r="V96" s="410"/>
      <c r="W96" s="353"/>
    </row>
    <row r="97" spans="1:23" s="354" customFormat="1" ht="23.1" customHeight="1">
      <c r="A97" s="409"/>
      <c r="B97" s="409"/>
      <c r="C97" s="410"/>
      <c r="D97" s="410"/>
      <c r="E97" s="410"/>
      <c r="F97" s="410"/>
      <c r="G97" s="410"/>
      <c r="H97" s="410"/>
      <c r="I97" s="410"/>
      <c r="J97" s="410"/>
      <c r="K97" s="410"/>
      <c r="L97" s="410"/>
      <c r="M97" s="410"/>
      <c r="N97" s="410"/>
      <c r="O97" s="410"/>
      <c r="P97" s="410"/>
      <c r="Q97" s="410"/>
      <c r="R97" s="410"/>
      <c r="S97" s="410"/>
      <c r="T97" s="410"/>
      <c r="U97" s="410"/>
      <c r="V97" s="410"/>
      <c r="W97" s="353"/>
    </row>
    <row r="98" spans="1:23" s="354" customFormat="1" ht="23.1" customHeight="1">
      <c r="A98" s="409"/>
      <c r="B98" s="409"/>
      <c r="C98" s="410"/>
      <c r="D98" s="410"/>
      <c r="E98" s="410"/>
      <c r="F98" s="410"/>
      <c r="G98" s="410"/>
      <c r="H98" s="410"/>
      <c r="I98" s="410"/>
      <c r="J98" s="410"/>
      <c r="K98" s="410"/>
      <c r="L98" s="410"/>
      <c r="M98" s="410"/>
      <c r="N98" s="410"/>
      <c r="O98" s="410"/>
      <c r="P98" s="410"/>
      <c r="Q98" s="410"/>
      <c r="R98" s="410"/>
      <c r="S98" s="410"/>
      <c r="T98" s="410"/>
      <c r="U98" s="410"/>
      <c r="V98" s="410"/>
      <c r="W98" s="353"/>
    </row>
    <row r="99" spans="1:23" s="354" customFormat="1" ht="23.1" customHeight="1">
      <c r="A99" s="409"/>
      <c r="B99" s="409"/>
      <c r="C99" s="410"/>
      <c r="D99" s="410"/>
      <c r="E99" s="410"/>
      <c r="F99" s="410"/>
      <c r="G99" s="410"/>
      <c r="H99" s="410"/>
      <c r="I99" s="410"/>
      <c r="J99" s="410"/>
      <c r="K99" s="410"/>
      <c r="L99" s="410"/>
      <c r="M99" s="410"/>
      <c r="N99" s="410"/>
      <c r="O99" s="410"/>
      <c r="P99" s="410"/>
      <c r="Q99" s="410"/>
      <c r="R99" s="410"/>
      <c r="S99" s="410"/>
      <c r="T99" s="410"/>
      <c r="U99" s="410"/>
      <c r="V99" s="410"/>
      <c r="W99" s="353"/>
    </row>
    <row r="100" spans="1:23" s="354" customFormat="1" ht="23.1" customHeight="1">
      <c r="A100" s="409"/>
      <c r="B100" s="409"/>
      <c r="C100" s="410"/>
      <c r="D100" s="410"/>
      <c r="E100" s="410"/>
      <c r="F100" s="410"/>
      <c r="G100" s="410"/>
      <c r="H100" s="410"/>
      <c r="I100" s="410"/>
      <c r="J100" s="410"/>
      <c r="K100" s="410"/>
      <c r="L100" s="410"/>
      <c r="M100" s="410"/>
      <c r="N100" s="410"/>
      <c r="O100" s="410"/>
      <c r="P100" s="410"/>
      <c r="Q100" s="410"/>
      <c r="R100" s="410"/>
      <c r="S100" s="410"/>
      <c r="T100" s="410"/>
      <c r="U100" s="410"/>
      <c r="V100" s="410"/>
      <c r="W100" s="353"/>
    </row>
    <row r="101" spans="1:23" s="354" customFormat="1" ht="23.1" customHeight="1">
      <c r="A101" s="409"/>
      <c r="B101" s="409"/>
      <c r="C101" s="410"/>
      <c r="D101" s="410"/>
      <c r="E101" s="410"/>
      <c r="F101" s="410"/>
      <c r="G101" s="410"/>
      <c r="H101" s="410"/>
      <c r="I101" s="410"/>
      <c r="J101" s="410"/>
      <c r="K101" s="410"/>
      <c r="L101" s="410"/>
      <c r="M101" s="410"/>
      <c r="N101" s="410"/>
      <c r="O101" s="410"/>
      <c r="P101" s="410"/>
      <c r="Q101" s="410"/>
      <c r="R101" s="410"/>
      <c r="S101" s="410"/>
      <c r="T101" s="410"/>
      <c r="U101" s="410"/>
      <c r="V101" s="410"/>
      <c r="W101" s="353"/>
    </row>
    <row r="102" spans="1:23" s="354" customFormat="1" ht="23.1" customHeight="1">
      <c r="A102" s="409"/>
      <c r="B102" s="409"/>
      <c r="C102" s="410"/>
      <c r="D102" s="410"/>
      <c r="E102" s="410"/>
      <c r="F102" s="410"/>
      <c r="G102" s="410"/>
      <c r="H102" s="410"/>
      <c r="I102" s="410"/>
      <c r="J102" s="410"/>
      <c r="K102" s="410"/>
      <c r="L102" s="410"/>
      <c r="M102" s="410"/>
      <c r="N102" s="410"/>
      <c r="O102" s="410"/>
      <c r="P102" s="410"/>
      <c r="Q102" s="410"/>
      <c r="R102" s="410"/>
      <c r="S102" s="410"/>
      <c r="T102" s="410"/>
      <c r="U102" s="410"/>
      <c r="V102" s="410"/>
      <c r="W102" s="353"/>
    </row>
    <row r="103" spans="1:23" s="354" customFormat="1" ht="23.1" customHeight="1">
      <c r="A103" s="409"/>
      <c r="B103" s="409"/>
      <c r="C103" s="410"/>
      <c r="D103" s="410"/>
      <c r="E103" s="410"/>
      <c r="F103" s="410"/>
      <c r="G103" s="410"/>
      <c r="H103" s="410"/>
      <c r="I103" s="410"/>
      <c r="J103" s="410"/>
      <c r="K103" s="410"/>
      <c r="L103" s="410"/>
      <c r="M103" s="410"/>
      <c r="N103" s="410"/>
      <c r="O103" s="410"/>
      <c r="P103" s="410"/>
      <c r="Q103" s="410"/>
      <c r="R103" s="410"/>
      <c r="S103" s="410"/>
      <c r="T103" s="410"/>
      <c r="U103" s="410"/>
      <c r="V103" s="410"/>
      <c r="W103" s="353"/>
    </row>
    <row r="104" spans="1:23" s="354" customFormat="1" ht="23.1" customHeight="1">
      <c r="A104" s="409"/>
      <c r="B104" s="409"/>
      <c r="C104" s="410"/>
      <c r="D104" s="410"/>
      <c r="E104" s="410"/>
      <c r="F104" s="410"/>
      <c r="G104" s="410"/>
      <c r="H104" s="410"/>
      <c r="I104" s="410"/>
      <c r="J104" s="410"/>
      <c r="K104" s="410"/>
      <c r="L104" s="410"/>
      <c r="M104" s="410"/>
      <c r="N104" s="410"/>
      <c r="O104" s="410"/>
      <c r="P104" s="410"/>
      <c r="Q104" s="410"/>
      <c r="R104" s="410"/>
      <c r="S104" s="410"/>
      <c r="T104" s="410"/>
      <c r="U104" s="410"/>
      <c r="V104" s="410"/>
      <c r="W104" s="353"/>
    </row>
    <row r="105" spans="1:23" s="354" customFormat="1" ht="23.1" customHeight="1">
      <c r="A105" s="409"/>
      <c r="B105" s="409"/>
      <c r="C105" s="410"/>
      <c r="D105" s="410"/>
      <c r="E105" s="410"/>
      <c r="F105" s="410"/>
      <c r="G105" s="410"/>
      <c r="H105" s="410"/>
      <c r="I105" s="410"/>
      <c r="J105" s="410"/>
      <c r="K105" s="410"/>
      <c r="L105" s="410"/>
      <c r="M105" s="410"/>
      <c r="N105" s="410"/>
      <c r="O105" s="410"/>
      <c r="P105" s="410"/>
      <c r="Q105" s="410"/>
      <c r="R105" s="410"/>
      <c r="S105" s="410"/>
      <c r="T105" s="410"/>
      <c r="U105" s="410"/>
      <c r="V105" s="410"/>
      <c r="W105" s="353"/>
    </row>
    <row r="106" spans="1:23" s="354" customFormat="1" ht="23.1" customHeight="1">
      <c r="A106" s="409"/>
      <c r="B106" s="409"/>
      <c r="C106" s="410"/>
      <c r="D106" s="410"/>
      <c r="E106" s="410"/>
      <c r="F106" s="410"/>
      <c r="G106" s="410"/>
      <c r="H106" s="410"/>
      <c r="I106" s="410"/>
      <c r="J106" s="410"/>
      <c r="K106" s="410"/>
      <c r="L106" s="410"/>
      <c r="M106" s="410"/>
      <c r="N106" s="410"/>
      <c r="O106" s="410"/>
      <c r="P106" s="410"/>
      <c r="Q106" s="410"/>
      <c r="R106" s="410"/>
      <c r="S106" s="410"/>
      <c r="T106" s="410"/>
      <c r="U106" s="410"/>
      <c r="V106" s="410"/>
      <c r="W106" s="353"/>
    </row>
    <row r="107" spans="1:23" s="354" customFormat="1" ht="23.1" customHeight="1">
      <c r="A107" s="409"/>
      <c r="B107" s="409"/>
      <c r="C107" s="410"/>
      <c r="D107" s="410"/>
      <c r="E107" s="410"/>
      <c r="F107" s="410"/>
      <c r="G107" s="410"/>
      <c r="H107" s="410"/>
      <c r="I107" s="410"/>
      <c r="J107" s="410"/>
      <c r="K107" s="410"/>
      <c r="L107" s="410"/>
      <c r="M107" s="410"/>
      <c r="N107" s="410"/>
      <c r="O107" s="410"/>
      <c r="P107" s="410"/>
      <c r="Q107" s="410"/>
      <c r="R107" s="410"/>
      <c r="S107" s="410"/>
      <c r="T107" s="410"/>
      <c r="U107" s="410"/>
      <c r="V107" s="410"/>
      <c r="W107" s="353"/>
    </row>
    <row r="108" spans="1:23" s="354" customFormat="1" ht="23.1" customHeight="1">
      <c r="A108" s="409"/>
      <c r="B108" s="409"/>
      <c r="C108" s="410"/>
      <c r="D108" s="410"/>
      <c r="E108" s="410"/>
      <c r="F108" s="410"/>
      <c r="G108" s="410"/>
      <c r="H108" s="410"/>
      <c r="I108" s="410"/>
      <c r="J108" s="410"/>
      <c r="K108" s="410"/>
      <c r="L108" s="410"/>
      <c r="M108" s="410"/>
      <c r="N108" s="410"/>
      <c r="O108" s="410"/>
      <c r="P108" s="410"/>
      <c r="Q108" s="410"/>
      <c r="R108" s="410"/>
      <c r="S108" s="410"/>
      <c r="T108" s="410"/>
      <c r="U108" s="410"/>
      <c r="V108" s="410"/>
      <c r="W108" s="353"/>
    </row>
    <row r="109" spans="1:23" s="354" customFormat="1" ht="23.1" customHeight="1">
      <c r="A109" s="409"/>
      <c r="B109" s="409"/>
      <c r="C109" s="410"/>
      <c r="D109" s="410"/>
      <c r="E109" s="410"/>
      <c r="F109" s="410"/>
      <c r="G109" s="410"/>
      <c r="H109" s="410"/>
      <c r="I109" s="410"/>
      <c r="J109" s="410"/>
      <c r="K109" s="410"/>
      <c r="L109" s="410"/>
      <c r="M109" s="410"/>
      <c r="N109" s="410"/>
      <c r="O109" s="410"/>
      <c r="P109" s="410"/>
      <c r="Q109" s="410"/>
      <c r="R109" s="410"/>
      <c r="S109" s="410"/>
      <c r="T109" s="410"/>
      <c r="U109" s="410"/>
      <c r="V109" s="410"/>
      <c r="W109" s="353"/>
    </row>
    <row r="110" spans="1:23" s="354" customFormat="1" ht="23.1" customHeight="1">
      <c r="A110" s="409"/>
      <c r="B110" s="409"/>
      <c r="C110" s="410"/>
      <c r="D110" s="410"/>
      <c r="E110" s="410"/>
      <c r="F110" s="410"/>
      <c r="G110" s="410"/>
      <c r="H110" s="410"/>
      <c r="I110" s="410"/>
      <c r="J110" s="410"/>
      <c r="K110" s="410"/>
      <c r="L110" s="410"/>
      <c r="M110" s="410"/>
      <c r="N110" s="410"/>
      <c r="O110" s="410"/>
      <c r="P110" s="410"/>
      <c r="Q110" s="410"/>
      <c r="R110" s="410"/>
      <c r="S110" s="410"/>
      <c r="T110" s="410"/>
      <c r="U110" s="410"/>
      <c r="V110" s="410"/>
      <c r="W110" s="353"/>
    </row>
    <row r="111" spans="1:23" s="354" customFormat="1" ht="23.1" customHeight="1">
      <c r="A111" s="409"/>
      <c r="B111" s="409"/>
      <c r="C111" s="410"/>
      <c r="D111" s="410"/>
      <c r="E111" s="410"/>
      <c r="F111" s="410"/>
      <c r="G111" s="410"/>
      <c r="H111" s="410"/>
      <c r="I111" s="410"/>
      <c r="J111" s="410"/>
      <c r="K111" s="410"/>
      <c r="L111" s="410"/>
      <c r="M111" s="410"/>
      <c r="N111" s="410"/>
      <c r="O111" s="410"/>
      <c r="P111" s="410"/>
      <c r="Q111" s="410"/>
      <c r="R111" s="410"/>
      <c r="S111" s="410"/>
      <c r="T111" s="410"/>
      <c r="U111" s="410"/>
      <c r="V111" s="410"/>
      <c r="W111" s="353"/>
    </row>
    <row r="112" spans="1:23" s="354" customFormat="1" ht="23.1" customHeight="1">
      <c r="A112" s="409"/>
      <c r="B112" s="409"/>
      <c r="C112" s="410"/>
      <c r="D112" s="410"/>
      <c r="E112" s="410"/>
      <c r="F112" s="410"/>
      <c r="G112" s="410"/>
      <c r="H112" s="410"/>
      <c r="I112" s="410"/>
      <c r="J112" s="410"/>
      <c r="K112" s="410"/>
      <c r="L112" s="410"/>
      <c r="M112" s="410"/>
      <c r="N112" s="410"/>
      <c r="O112" s="410"/>
      <c r="P112" s="410"/>
      <c r="Q112" s="410"/>
      <c r="R112" s="410"/>
      <c r="S112" s="410"/>
      <c r="T112" s="410"/>
      <c r="U112" s="410"/>
      <c r="V112" s="410"/>
      <c r="W112" s="353"/>
    </row>
    <row r="113" spans="1:23" s="352" customFormat="1" ht="20.100000000000001" customHeight="1">
      <c r="A113" s="409"/>
      <c r="B113" s="409"/>
      <c r="C113" s="410"/>
      <c r="D113" s="410"/>
      <c r="E113" s="410"/>
      <c r="F113" s="410"/>
      <c r="G113" s="410"/>
      <c r="H113" s="410"/>
      <c r="I113" s="410"/>
      <c r="J113" s="410"/>
      <c r="K113" s="410"/>
      <c r="L113" s="410"/>
      <c r="M113" s="410"/>
      <c r="N113" s="410"/>
      <c r="O113" s="410"/>
      <c r="P113" s="410"/>
      <c r="Q113" s="410"/>
      <c r="R113" s="410"/>
      <c r="S113" s="410"/>
      <c r="T113" s="410"/>
      <c r="U113" s="410"/>
      <c r="V113" s="410"/>
    </row>
    <row r="114" spans="1:23" s="352" customFormat="1" ht="9.9499999999999993" customHeight="1">
      <c r="A114" s="409"/>
      <c r="B114" s="409"/>
      <c r="C114" s="410"/>
      <c r="D114" s="410"/>
      <c r="E114" s="410"/>
      <c r="F114" s="410"/>
      <c r="G114" s="410"/>
      <c r="H114" s="410"/>
      <c r="I114" s="410"/>
      <c r="J114" s="410"/>
      <c r="K114" s="410"/>
      <c r="L114" s="410"/>
      <c r="M114" s="410"/>
      <c r="N114" s="410"/>
      <c r="O114" s="410"/>
      <c r="P114" s="410"/>
      <c r="Q114" s="410"/>
      <c r="R114" s="410"/>
      <c r="S114" s="410"/>
      <c r="T114" s="410"/>
      <c r="U114" s="410"/>
      <c r="V114" s="410"/>
    </row>
    <row r="115" spans="1:23" s="354" customFormat="1" ht="27.95" customHeight="1">
      <c r="A115" s="409"/>
      <c r="B115" s="409"/>
      <c r="C115" s="410"/>
      <c r="D115" s="410"/>
      <c r="E115" s="410"/>
      <c r="F115" s="410"/>
      <c r="G115" s="410"/>
      <c r="H115" s="410"/>
      <c r="I115" s="410"/>
      <c r="J115" s="410"/>
      <c r="K115" s="410"/>
      <c r="L115" s="410"/>
      <c r="M115" s="410"/>
      <c r="N115" s="410"/>
      <c r="O115" s="410"/>
      <c r="P115" s="410"/>
      <c r="Q115" s="410"/>
      <c r="R115" s="410"/>
      <c r="S115" s="410"/>
      <c r="T115" s="410"/>
      <c r="U115" s="410"/>
      <c r="V115" s="410"/>
      <c r="W115" s="353"/>
    </row>
    <row r="116" spans="1:23" s="354" customFormat="1" ht="27.95" customHeight="1">
      <c r="A116" s="409"/>
      <c r="B116" s="409"/>
      <c r="C116" s="410"/>
      <c r="D116" s="410"/>
      <c r="E116" s="410"/>
      <c r="F116" s="410"/>
      <c r="G116" s="410"/>
      <c r="H116" s="410"/>
      <c r="I116" s="410"/>
      <c r="J116" s="410"/>
      <c r="K116" s="410"/>
      <c r="L116" s="410"/>
      <c r="M116" s="410"/>
      <c r="N116" s="410"/>
      <c r="O116" s="410"/>
      <c r="P116" s="410"/>
      <c r="Q116" s="410"/>
      <c r="R116" s="410"/>
      <c r="S116" s="410"/>
      <c r="T116" s="410"/>
      <c r="U116" s="410"/>
      <c r="V116" s="410"/>
      <c r="W116" s="353"/>
    </row>
    <row r="117" spans="1:23" s="354" customFormat="1" ht="23.1" customHeight="1">
      <c r="A117" s="409"/>
      <c r="B117" s="409"/>
      <c r="C117" s="410"/>
      <c r="D117" s="410"/>
      <c r="E117" s="410"/>
      <c r="F117" s="410"/>
      <c r="G117" s="410"/>
      <c r="H117" s="410"/>
      <c r="I117" s="410"/>
      <c r="J117" s="410"/>
      <c r="K117" s="410"/>
      <c r="L117" s="410"/>
      <c r="M117" s="410"/>
      <c r="N117" s="410"/>
      <c r="O117" s="410"/>
      <c r="P117" s="410"/>
      <c r="Q117" s="410"/>
      <c r="R117" s="410"/>
      <c r="S117" s="410"/>
      <c r="T117" s="410"/>
      <c r="U117" s="410"/>
      <c r="V117" s="410"/>
      <c r="W117" s="353"/>
    </row>
    <row r="118" spans="1:23" s="354" customFormat="1" ht="23.1" customHeight="1">
      <c r="A118" s="409"/>
      <c r="B118" s="409"/>
      <c r="C118" s="410"/>
      <c r="D118" s="410"/>
      <c r="E118" s="410"/>
      <c r="F118" s="410"/>
      <c r="G118" s="410"/>
      <c r="H118" s="410"/>
      <c r="I118" s="410"/>
      <c r="J118" s="410"/>
      <c r="K118" s="410"/>
      <c r="L118" s="410"/>
      <c r="M118" s="410"/>
      <c r="N118" s="410"/>
      <c r="O118" s="410"/>
      <c r="P118" s="410"/>
      <c r="Q118" s="410"/>
      <c r="R118" s="410"/>
      <c r="S118" s="410"/>
      <c r="T118" s="410"/>
      <c r="U118" s="410"/>
      <c r="V118" s="410"/>
      <c r="W118" s="353"/>
    </row>
    <row r="119" spans="1:23" s="354" customFormat="1" ht="23.1" customHeight="1">
      <c r="A119" s="409"/>
      <c r="B119" s="409"/>
      <c r="C119" s="410"/>
      <c r="D119" s="410"/>
      <c r="E119" s="410"/>
      <c r="F119" s="410"/>
      <c r="G119" s="410"/>
      <c r="H119" s="410"/>
      <c r="I119" s="410"/>
      <c r="J119" s="410"/>
      <c r="K119" s="410"/>
      <c r="L119" s="410"/>
      <c r="M119" s="410"/>
      <c r="N119" s="410"/>
      <c r="O119" s="410"/>
      <c r="P119" s="410"/>
      <c r="Q119" s="410"/>
      <c r="R119" s="410"/>
      <c r="S119" s="410"/>
      <c r="T119" s="410"/>
      <c r="U119" s="410"/>
      <c r="V119" s="410"/>
      <c r="W119" s="353"/>
    </row>
    <row r="120" spans="1:23" s="354" customFormat="1" ht="23.1" customHeight="1">
      <c r="A120" s="409"/>
      <c r="B120" s="409"/>
      <c r="C120" s="410"/>
      <c r="D120" s="410"/>
      <c r="E120" s="410"/>
      <c r="F120" s="410"/>
      <c r="G120" s="410"/>
      <c r="H120" s="410"/>
      <c r="I120" s="410"/>
      <c r="J120" s="410"/>
      <c r="K120" s="410"/>
      <c r="L120" s="410"/>
      <c r="M120" s="410"/>
      <c r="N120" s="410"/>
      <c r="O120" s="410"/>
      <c r="P120" s="410"/>
      <c r="Q120" s="410"/>
      <c r="R120" s="410"/>
      <c r="S120" s="410"/>
      <c r="T120" s="410"/>
      <c r="U120" s="410"/>
      <c r="V120" s="410"/>
      <c r="W120" s="353"/>
    </row>
    <row r="121" spans="1:23" s="354" customFormat="1" ht="23.1" customHeight="1">
      <c r="A121" s="409"/>
      <c r="B121" s="409"/>
      <c r="C121" s="410"/>
      <c r="D121" s="410"/>
      <c r="E121" s="410"/>
      <c r="F121" s="410"/>
      <c r="G121" s="410"/>
      <c r="H121" s="410"/>
      <c r="I121" s="410"/>
      <c r="J121" s="410"/>
      <c r="K121" s="410"/>
      <c r="L121" s="410"/>
      <c r="M121" s="410"/>
      <c r="N121" s="410"/>
      <c r="O121" s="410"/>
      <c r="P121" s="410"/>
      <c r="Q121" s="410"/>
      <c r="R121" s="410"/>
      <c r="S121" s="410"/>
      <c r="T121" s="410"/>
      <c r="U121" s="410"/>
      <c r="V121" s="410"/>
      <c r="W121" s="353"/>
    </row>
    <row r="122" spans="1:23" s="354" customFormat="1" ht="23.1" customHeight="1">
      <c r="A122" s="409"/>
      <c r="B122" s="409"/>
      <c r="C122" s="410"/>
      <c r="D122" s="410"/>
      <c r="E122" s="410"/>
      <c r="F122" s="410"/>
      <c r="G122" s="410"/>
      <c r="H122" s="410"/>
      <c r="I122" s="410"/>
      <c r="J122" s="410"/>
      <c r="K122" s="410"/>
      <c r="L122" s="410"/>
      <c r="M122" s="410"/>
      <c r="N122" s="410"/>
      <c r="O122" s="410"/>
      <c r="P122" s="410"/>
      <c r="Q122" s="410"/>
      <c r="R122" s="410"/>
      <c r="S122" s="410"/>
      <c r="T122" s="410"/>
      <c r="U122" s="410"/>
      <c r="V122" s="410"/>
      <c r="W122" s="353"/>
    </row>
    <row r="123" spans="1:23" s="354" customFormat="1" ht="23.1" customHeight="1">
      <c r="A123" s="409"/>
      <c r="B123" s="409"/>
      <c r="C123" s="410"/>
      <c r="D123" s="410"/>
      <c r="E123" s="410"/>
      <c r="F123" s="410"/>
      <c r="G123" s="410"/>
      <c r="H123" s="410"/>
      <c r="I123" s="410"/>
      <c r="J123" s="410"/>
      <c r="K123" s="410"/>
      <c r="L123" s="410"/>
      <c r="M123" s="410"/>
      <c r="N123" s="410"/>
      <c r="O123" s="410"/>
      <c r="P123" s="410"/>
      <c r="Q123" s="410"/>
      <c r="R123" s="410"/>
      <c r="S123" s="410"/>
      <c r="T123" s="410"/>
      <c r="U123" s="410"/>
      <c r="V123" s="410"/>
      <c r="W123" s="353"/>
    </row>
    <row r="124" spans="1:23" s="354" customFormat="1" ht="23.1" customHeight="1">
      <c r="A124" s="409"/>
      <c r="B124" s="409"/>
      <c r="C124" s="410"/>
      <c r="D124" s="410"/>
      <c r="E124" s="410"/>
      <c r="F124" s="410"/>
      <c r="G124" s="410"/>
      <c r="H124" s="410"/>
      <c r="I124" s="410"/>
      <c r="J124" s="410"/>
      <c r="K124" s="410"/>
      <c r="L124" s="410"/>
      <c r="M124" s="410"/>
      <c r="N124" s="410"/>
      <c r="O124" s="410"/>
      <c r="P124" s="410"/>
      <c r="Q124" s="410"/>
      <c r="R124" s="410"/>
      <c r="S124" s="410"/>
      <c r="T124" s="410"/>
      <c r="U124" s="410"/>
      <c r="V124" s="410"/>
      <c r="W124" s="353"/>
    </row>
    <row r="125" spans="1:23" s="354" customFormat="1" ht="23.1" customHeight="1">
      <c r="A125" s="409"/>
      <c r="B125" s="409"/>
      <c r="C125" s="410"/>
      <c r="D125" s="410"/>
      <c r="E125" s="410"/>
      <c r="F125" s="410"/>
      <c r="G125" s="410"/>
      <c r="H125" s="410"/>
      <c r="I125" s="410"/>
      <c r="J125" s="410"/>
      <c r="K125" s="410"/>
      <c r="L125" s="410"/>
      <c r="M125" s="410"/>
      <c r="N125" s="410"/>
      <c r="O125" s="410"/>
      <c r="P125" s="410"/>
      <c r="Q125" s="410"/>
      <c r="R125" s="410"/>
      <c r="S125" s="410"/>
      <c r="T125" s="410"/>
      <c r="U125" s="410"/>
      <c r="V125" s="410"/>
      <c r="W125" s="353"/>
    </row>
    <row r="126" spans="1:23" s="354" customFormat="1" ht="23.1" customHeight="1">
      <c r="A126" s="409"/>
      <c r="B126" s="409"/>
      <c r="C126" s="410"/>
      <c r="D126" s="410"/>
      <c r="E126" s="410"/>
      <c r="F126" s="410"/>
      <c r="G126" s="410"/>
      <c r="H126" s="410"/>
      <c r="I126" s="410"/>
      <c r="J126" s="410"/>
      <c r="K126" s="410"/>
      <c r="L126" s="410"/>
      <c r="M126" s="410"/>
      <c r="N126" s="410"/>
      <c r="O126" s="410"/>
      <c r="P126" s="410"/>
      <c r="Q126" s="410"/>
      <c r="R126" s="410"/>
      <c r="S126" s="410"/>
      <c r="T126" s="410"/>
      <c r="U126" s="410"/>
      <c r="V126" s="410"/>
      <c r="W126" s="353"/>
    </row>
    <row r="127" spans="1:23" s="354" customFormat="1" ht="23.1" customHeight="1">
      <c r="A127" s="409"/>
      <c r="B127" s="409"/>
      <c r="C127" s="410"/>
      <c r="D127" s="410"/>
      <c r="E127" s="410"/>
      <c r="F127" s="410"/>
      <c r="G127" s="410"/>
      <c r="H127" s="410"/>
      <c r="I127" s="410"/>
      <c r="J127" s="410"/>
      <c r="K127" s="410"/>
      <c r="L127" s="410"/>
      <c r="M127" s="410"/>
      <c r="N127" s="410"/>
      <c r="O127" s="410"/>
      <c r="P127" s="410"/>
      <c r="Q127" s="410"/>
      <c r="R127" s="410"/>
      <c r="S127" s="410"/>
      <c r="T127" s="410"/>
      <c r="U127" s="410"/>
      <c r="V127" s="410"/>
      <c r="W127" s="353"/>
    </row>
    <row r="128" spans="1:23" s="354" customFormat="1" ht="23.1" customHeight="1">
      <c r="A128" s="409"/>
      <c r="B128" s="409"/>
      <c r="C128" s="410"/>
      <c r="D128" s="410"/>
      <c r="E128" s="410"/>
      <c r="F128" s="410"/>
      <c r="G128" s="410"/>
      <c r="H128" s="410"/>
      <c r="I128" s="410"/>
      <c r="J128" s="410"/>
      <c r="K128" s="410"/>
      <c r="L128" s="410"/>
      <c r="M128" s="410"/>
      <c r="N128" s="410"/>
      <c r="O128" s="410"/>
      <c r="P128" s="410"/>
      <c r="Q128" s="410"/>
      <c r="R128" s="410"/>
      <c r="S128" s="410"/>
      <c r="T128" s="410"/>
      <c r="U128" s="410"/>
      <c r="V128" s="410"/>
      <c r="W128" s="353"/>
    </row>
    <row r="129" spans="1:23" s="354" customFormat="1" ht="23.1" customHeight="1">
      <c r="A129" s="409"/>
      <c r="B129" s="409"/>
      <c r="C129" s="410"/>
      <c r="D129" s="410"/>
      <c r="E129" s="410"/>
      <c r="F129" s="410"/>
      <c r="G129" s="410"/>
      <c r="H129" s="410"/>
      <c r="I129" s="410"/>
      <c r="J129" s="410"/>
      <c r="K129" s="410"/>
      <c r="L129" s="410"/>
      <c r="M129" s="410"/>
      <c r="N129" s="410"/>
      <c r="O129" s="410"/>
      <c r="P129" s="410"/>
      <c r="Q129" s="410"/>
      <c r="R129" s="410"/>
      <c r="S129" s="410"/>
      <c r="T129" s="410"/>
      <c r="U129" s="410"/>
      <c r="V129" s="410"/>
      <c r="W129" s="353"/>
    </row>
    <row r="130" spans="1:23" s="354" customFormat="1" ht="23.1" customHeight="1">
      <c r="A130" s="409"/>
      <c r="B130" s="409"/>
      <c r="C130" s="410"/>
      <c r="D130" s="410"/>
      <c r="E130" s="410"/>
      <c r="F130" s="410"/>
      <c r="G130" s="410"/>
      <c r="H130" s="410"/>
      <c r="I130" s="410"/>
      <c r="J130" s="410"/>
      <c r="K130" s="410"/>
      <c r="L130" s="410"/>
      <c r="M130" s="410"/>
      <c r="N130" s="410"/>
      <c r="O130" s="410"/>
      <c r="P130" s="410"/>
      <c r="Q130" s="410"/>
      <c r="R130" s="410"/>
      <c r="S130" s="410"/>
      <c r="T130" s="410"/>
      <c r="U130" s="410"/>
      <c r="V130" s="410"/>
      <c r="W130" s="353"/>
    </row>
    <row r="131" spans="1:23" s="354" customFormat="1" ht="23.1" customHeight="1">
      <c r="A131" s="409"/>
      <c r="B131" s="409"/>
      <c r="C131" s="410"/>
      <c r="D131" s="410"/>
      <c r="E131" s="410"/>
      <c r="F131" s="410"/>
      <c r="G131" s="410"/>
      <c r="H131" s="410"/>
      <c r="I131" s="410"/>
      <c r="J131" s="410"/>
      <c r="K131" s="410"/>
      <c r="L131" s="410"/>
      <c r="M131" s="410"/>
      <c r="N131" s="410"/>
      <c r="O131" s="410"/>
      <c r="P131" s="410"/>
      <c r="Q131" s="410"/>
      <c r="R131" s="410"/>
      <c r="S131" s="410"/>
      <c r="T131" s="410"/>
      <c r="U131" s="410"/>
      <c r="V131" s="410"/>
      <c r="W131" s="353"/>
    </row>
    <row r="132" spans="1:23" s="354" customFormat="1" ht="23.1" customHeight="1">
      <c r="A132" s="409"/>
      <c r="B132" s="409"/>
      <c r="C132" s="410"/>
      <c r="D132" s="410"/>
      <c r="E132" s="410"/>
      <c r="F132" s="410"/>
      <c r="G132" s="410"/>
      <c r="H132" s="410"/>
      <c r="I132" s="410"/>
      <c r="J132" s="410"/>
      <c r="K132" s="410"/>
      <c r="L132" s="410"/>
      <c r="M132" s="410"/>
      <c r="N132" s="410"/>
      <c r="O132" s="410"/>
      <c r="P132" s="410"/>
      <c r="Q132" s="410"/>
      <c r="R132" s="410"/>
      <c r="S132" s="410"/>
      <c r="T132" s="410"/>
      <c r="U132" s="410"/>
      <c r="V132" s="410"/>
      <c r="W132" s="353"/>
    </row>
    <row r="133" spans="1:23" s="354" customFormat="1" ht="23.1" customHeight="1">
      <c r="A133" s="409"/>
      <c r="B133" s="409"/>
      <c r="C133" s="410"/>
      <c r="D133" s="410"/>
      <c r="E133" s="410"/>
      <c r="F133" s="410"/>
      <c r="G133" s="410"/>
      <c r="H133" s="410"/>
      <c r="I133" s="410"/>
      <c r="J133" s="410"/>
      <c r="K133" s="410"/>
      <c r="L133" s="410"/>
      <c r="M133" s="410"/>
      <c r="N133" s="410"/>
      <c r="O133" s="410"/>
      <c r="P133" s="410"/>
      <c r="Q133" s="410"/>
      <c r="R133" s="410"/>
      <c r="S133" s="410"/>
      <c r="T133" s="410"/>
      <c r="U133" s="410"/>
      <c r="V133" s="410"/>
      <c r="W133" s="353"/>
    </row>
    <row r="134" spans="1:23" s="354" customFormat="1" ht="23.1" customHeight="1">
      <c r="A134" s="409"/>
      <c r="B134" s="409"/>
      <c r="C134" s="410"/>
      <c r="D134" s="410"/>
      <c r="E134" s="410"/>
      <c r="F134" s="410"/>
      <c r="G134" s="410"/>
      <c r="H134" s="410"/>
      <c r="I134" s="410"/>
      <c r="J134" s="410"/>
      <c r="K134" s="410"/>
      <c r="L134" s="410"/>
      <c r="M134" s="410"/>
      <c r="N134" s="410"/>
      <c r="O134" s="410"/>
      <c r="P134" s="410"/>
      <c r="Q134" s="410"/>
      <c r="R134" s="410"/>
      <c r="S134" s="410"/>
      <c r="T134" s="410"/>
      <c r="U134" s="410"/>
      <c r="V134" s="410"/>
      <c r="W134" s="353"/>
    </row>
    <row r="135" spans="1:23" s="354" customFormat="1" ht="23.1" customHeight="1">
      <c r="A135" s="409"/>
      <c r="B135" s="409"/>
      <c r="C135" s="410"/>
      <c r="D135" s="410"/>
      <c r="E135" s="410"/>
      <c r="F135" s="410"/>
      <c r="G135" s="410"/>
      <c r="H135" s="410"/>
      <c r="I135" s="410"/>
      <c r="J135" s="410"/>
      <c r="K135" s="410"/>
      <c r="L135" s="410"/>
      <c r="M135" s="410"/>
      <c r="N135" s="410"/>
      <c r="O135" s="410"/>
      <c r="P135" s="410"/>
      <c r="Q135" s="410"/>
      <c r="R135" s="410"/>
      <c r="S135" s="410"/>
      <c r="T135" s="410"/>
      <c r="U135" s="410"/>
      <c r="V135" s="410"/>
      <c r="W135" s="353"/>
    </row>
    <row r="136" spans="1:23" s="354" customFormat="1" ht="23.1" customHeight="1">
      <c r="A136" s="409"/>
      <c r="B136" s="409"/>
      <c r="C136" s="410"/>
      <c r="D136" s="410"/>
      <c r="E136" s="410"/>
      <c r="F136" s="410"/>
      <c r="G136" s="410"/>
      <c r="H136" s="410"/>
      <c r="I136" s="410"/>
      <c r="J136" s="410"/>
      <c r="K136" s="410"/>
      <c r="L136" s="410"/>
      <c r="M136" s="410"/>
      <c r="N136" s="410"/>
      <c r="O136" s="410"/>
      <c r="P136" s="410"/>
      <c r="Q136" s="410"/>
      <c r="R136" s="410"/>
      <c r="S136" s="410"/>
      <c r="T136" s="410"/>
      <c r="U136" s="410"/>
      <c r="V136" s="410"/>
      <c r="W136" s="353"/>
    </row>
    <row r="137" spans="1:23" s="354" customFormat="1" ht="23.1" customHeight="1">
      <c r="A137" s="409"/>
      <c r="B137" s="409"/>
      <c r="C137" s="410"/>
      <c r="D137" s="410"/>
      <c r="E137" s="410"/>
      <c r="F137" s="410"/>
      <c r="G137" s="410"/>
      <c r="H137" s="410"/>
      <c r="I137" s="410"/>
      <c r="J137" s="410"/>
      <c r="K137" s="410"/>
      <c r="L137" s="410"/>
      <c r="M137" s="410"/>
      <c r="N137" s="410"/>
      <c r="O137" s="410"/>
      <c r="P137" s="410"/>
      <c r="Q137" s="410"/>
      <c r="R137" s="410"/>
      <c r="S137" s="410"/>
      <c r="T137" s="410"/>
      <c r="U137" s="410"/>
      <c r="V137" s="410"/>
      <c r="W137" s="353"/>
    </row>
    <row r="138" spans="1:23" s="354" customFormat="1" ht="23.1" customHeight="1">
      <c r="A138" s="409"/>
      <c r="B138" s="409"/>
      <c r="C138" s="410"/>
      <c r="D138" s="410"/>
      <c r="E138" s="410"/>
      <c r="F138" s="410"/>
      <c r="G138" s="410"/>
      <c r="H138" s="410"/>
      <c r="I138" s="410"/>
      <c r="J138" s="410"/>
      <c r="K138" s="410"/>
      <c r="L138" s="410"/>
      <c r="M138" s="410"/>
      <c r="N138" s="410"/>
      <c r="O138" s="410"/>
      <c r="P138" s="410"/>
      <c r="Q138" s="410"/>
      <c r="R138" s="410"/>
      <c r="S138" s="410"/>
      <c r="T138" s="410"/>
      <c r="U138" s="410"/>
      <c r="V138" s="410"/>
      <c r="W138" s="353"/>
    </row>
    <row r="139" spans="1:23" s="354" customFormat="1" ht="23.1" customHeight="1">
      <c r="A139" s="409"/>
      <c r="B139" s="409"/>
      <c r="C139" s="410"/>
      <c r="D139" s="410"/>
      <c r="E139" s="410"/>
      <c r="F139" s="410"/>
      <c r="G139" s="410"/>
      <c r="H139" s="410"/>
      <c r="I139" s="410"/>
      <c r="J139" s="410"/>
      <c r="K139" s="410"/>
      <c r="L139" s="410"/>
      <c r="M139" s="410"/>
      <c r="N139" s="410"/>
      <c r="O139" s="410"/>
      <c r="P139" s="410"/>
      <c r="Q139" s="410"/>
      <c r="R139" s="410"/>
      <c r="S139" s="410"/>
      <c r="T139" s="410"/>
      <c r="U139" s="410"/>
      <c r="V139" s="410"/>
      <c r="W139" s="353"/>
    </row>
    <row r="140" spans="1:23" s="354" customFormat="1" ht="23.1" customHeight="1">
      <c r="A140" s="409"/>
      <c r="B140" s="409"/>
      <c r="C140" s="410"/>
      <c r="D140" s="410"/>
      <c r="E140" s="410"/>
      <c r="F140" s="410"/>
      <c r="G140" s="410"/>
      <c r="H140" s="410"/>
      <c r="I140" s="410"/>
      <c r="J140" s="410"/>
      <c r="K140" s="410"/>
      <c r="L140" s="410"/>
      <c r="M140" s="410"/>
      <c r="N140" s="410"/>
      <c r="O140" s="410"/>
      <c r="P140" s="410"/>
      <c r="Q140" s="410"/>
      <c r="R140" s="410"/>
      <c r="S140" s="410"/>
      <c r="T140" s="410"/>
      <c r="U140" s="410"/>
      <c r="V140" s="410"/>
      <c r="W140" s="353"/>
    </row>
    <row r="141" spans="1:23" s="354" customFormat="1" ht="23.1" customHeight="1">
      <c r="A141" s="409"/>
      <c r="B141" s="409"/>
      <c r="C141" s="410"/>
      <c r="D141" s="410"/>
      <c r="E141" s="410"/>
      <c r="F141" s="410"/>
      <c r="G141" s="410"/>
      <c r="H141" s="410"/>
      <c r="I141" s="410"/>
      <c r="J141" s="410"/>
      <c r="K141" s="410"/>
      <c r="L141" s="410"/>
      <c r="M141" s="410"/>
      <c r="N141" s="410"/>
      <c r="O141" s="410"/>
      <c r="P141" s="410"/>
      <c r="Q141" s="410"/>
      <c r="R141" s="410"/>
      <c r="S141" s="410"/>
      <c r="T141" s="410"/>
      <c r="U141" s="410"/>
      <c r="V141" s="410"/>
      <c r="W141" s="353"/>
    </row>
    <row r="142" spans="1:23" s="354" customFormat="1" ht="23.1" customHeight="1">
      <c r="A142" s="409"/>
      <c r="B142" s="409"/>
      <c r="C142" s="410"/>
      <c r="D142" s="410"/>
      <c r="E142" s="410"/>
      <c r="F142" s="410"/>
      <c r="G142" s="410"/>
      <c r="H142" s="410"/>
      <c r="I142" s="410"/>
      <c r="J142" s="410"/>
      <c r="K142" s="410"/>
      <c r="L142" s="410"/>
      <c r="M142" s="410"/>
      <c r="N142" s="410"/>
      <c r="O142" s="410"/>
      <c r="P142" s="410"/>
      <c r="Q142" s="410"/>
      <c r="R142" s="410"/>
      <c r="S142" s="410"/>
      <c r="T142" s="410"/>
      <c r="U142" s="410"/>
      <c r="V142" s="410"/>
      <c r="W142" s="353"/>
    </row>
    <row r="143" spans="1:23" s="352" customFormat="1" ht="20.100000000000001" customHeight="1">
      <c r="A143" s="409"/>
      <c r="B143" s="409"/>
      <c r="C143" s="410"/>
      <c r="D143" s="410"/>
      <c r="E143" s="410"/>
      <c r="F143" s="410"/>
      <c r="G143" s="410"/>
      <c r="H143" s="410"/>
      <c r="I143" s="410"/>
      <c r="J143" s="410"/>
      <c r="K143" s="410"/>
      <c r="L143" s="410"/>
      <c r="M143" s="410"/>
      <c r="N143" s="410"/>
      <c r="O143" s="410"/>
      <c r="P143" s="410"/>
      <c r="Q143" s="410"/>
      <c r="R143" s="410"/>
      <c r="S143" s="410"/>
      <c r="T143" s="410"/>
      <c r="U143" s="410"/>
      <c r="V143" s="410"/>
    </row>
    <row r="144" spans="1:23" s="352" customFormat="1" ht="9.9499999999999993" customHeight="1">
      <c r="A144" s="409"/>
      <c r="B144" s="409"/>
      <c r="C144" s="410"/>
      <c r="D144" s="410"/>
      <c r="E144" s="410"/>
      <c r="F144" s="410"/>
      <c r="G144" s="410"/>
      <c r="H144" s="410"/>
      <c r="I144" s="410"/>
      <c r="J144" s="410"/>
      <c r="K144" s="410"/>
      <c r="L144" s="410"/>
      <c r="M144" s="410"/>
      <c r="N144" s="410"/>
      <c r="O144" s="410"/>
      <c r="P144" s="410"/>
      <c r="Q144" s="410"/>
      <c r="R144" s="410"/>
      <c r="S144" s="410"/>
      <c r="T144" s="410"/>
      <c r="U144" s="410"/>
      <c r="V144" s="410"/>
    </row>
    <row r="145" spans="1:23" s="354" customFormat="1" ht="27.95" customHeight="1">
      <c r="A145" s="409"/>
      <c r="B145" s="409"/>
      <c r="C145" s="410"/>
      <c r="D145" s="410"/>
      <c r="E145" s="410"/>
      <c r="F145" s="410"/>
      <c r="G145" s="410"/>
      <c r="H145" s="410"/>
      <c r="I145" s="410"/>
      <c r="J145" s="410"/>
      <c r="K145" s="410"/>
      <c r="L145" s="410"/>
      <c r="M145" s="410"/>
      <c r="N145" s="410"/>
      <c r="O145" s="410"/>
      <c r="P145" s="410"/>
      <c r="Q145" s="410"/>
      <c r="R145" s="410"/>
      <c r="S145" s="410"/>
      <c r="T145" s="410"/>
      <c r="U145" s="410"/>
      <c r="V145" s="410"/>
      <c r="W145" s="353"/>
    </row>
    <row r="146" spans="1:23" s="354" customFormat="1" ht="27.95" customHeight="1">
      <c r="A146" s="409"/>
      <c r="B146" s="409"/>
      <c r="C146" s="410"/>
      <c r="D146" s="410"/>
      <c r="E146" s="410"/>
      <c r="F146" s="410"/>
      <c r="G146" s="410"/>
      <c r="H146" s="410"/>
      <c r="I146" s="410"/>
      <c r="J146" s="410"/>
      <c r="K146" s="410"/>
      <c r="L146" s="410"/>
      <c r="M146" s="410"/>
      <c r="N146" s="410"/>
      <c r="O146" s="410"/>
      <c r="P146" s="410"/>
      <c r="Q146" s="410"/>
      <c r="R146" s="410"/>
      <c r="S146" s="410"/>
      <c r="T146" s="410"/>
      <c r="U146" s="410"/>
      <c r="V146" s="410"/>
      <c r="W146" s="353"/>
    </row>
    <row r="147" spans="1:23" s="354" customFormat="1" ht="23.1" customHeight="1">
      <c r="A147" s="409"/>
      <c r="B147" s="409"/>
      <c r="C147" s="410"/>
      <c r="D147" s="410"/>
      <c r="E147" s="410"/>
      <c r="F147" s="410"/>
      <c r="G147" s="410"/>
      <c r="H147" s="410"/>
      <c r="I147" s="410"/>
      <c r="J147" s="410"/>
      <c r="K147" s="410"/>
      <c r="L147" s="410"/>
      <c r="M147" s="410"/>
      <c r="N147" s="410"/>
      <c r="O147" s="410"/>
      <c r="P147" s="410"/>
      <c r="Q147" s="410"/>
      <c r="R147" s="410"/>
      <c r="S147" s="410"/>
      <c r="T147" s="410"/>
      <c r="U147" s="410"/>
      <c r="V147" s="410"/>
      <c r="W147" s="353"/>
    </row>
    <row r="148" spans="1:23" s="354" customFormat="1" ht="23.1" customHeight="1">
      <c r="A148" s="409"/>
      <c r="B148" s="409"/>
      <c r="C148" s="410"/>
      <c r="D148" s="410"/>
      <c r="E148" s="410"/>
      <c r="F148" s="410"/>
      <c r="G148" s="410"/>
      <c r="H148" s="410"/>
      <c r="I148" s="410"/>
      <c r="J148" s="410"/>
      <c r="K148" s="410"/>
      <c r="L148" s="410"/>
      <c r="M148" s="410"/>
      <c r="N148" s="410"/>
      <c r="O148" s="410"/>
      <c r="P148" s="410"/>
      <c r="Q148" s="410"/>
      <c r="R148" s="410"/>
      <c r="S148" s="410"/>
      <c r="T148" s="410"/>
      <c r="U148" s="410"/>
      <c r="V148" s="410"/>
      <c r="W148" s="353"/>
    </row>
    <row r="149" spans="1:23" s="354" customFormat="1" ht="23.1" customHeight="1">
      <c r="A149" s="409"/>
      <c r="B149" s="409"/>
      <c r="C149" s="410"/>
      <c r="D149" s="410"/>
      <c r="E149" s="410"/>
      <c r="F149" s="410"/>
      <c r="G149" s="410"/>
      <c r="H149" s="410"/>
      <c r="I149" s="410"/>
      <c r="J149" s="410"/>
      <c r="K149" s="410"/>
      <c r="L149" s="410"/>
      <c r="M149" s="410"/>
      <c r="N149" s="410"/>
      <c r="O149" s="410"/>
      <c r="P149" s="410"/>
      <c r="Q149" s="410"/>
      <c r="R149" s="410"/>
      <c r="S149" s="410"/>
      <c r="T149" s="410"/>
      <c r="U149" s="410"/>
      <c r="V149" s="410"/>
      <c r="W149" s="353"/>
    </row>
    <row r="150" spans="1:23" s="354" customFormat="1" ht="23.1" customHeight="1">
      <c r="A150" s="409"/>
      <c r="B150" s="409"/>
      <c r="C150" s="410"/>
      <c r="D150" s="410"/>
      <c r="E150" s="410"/>
      <c r="F150" s="410"/>
      <c r="G150" s="410"/>
      <c r="H150" s="410"/>
      <c r="I150" s="410"/>
      <c r="J150" s="410"/>
      <c r="K150" s="410"/>
      <c r="L150" s="410"/>
      <c r="M150" s="410"/>
      <c r="N150" s="410"/>
      <c r="O150" s="410"/>
      <c r="P150" s="410"/>
      <c r="Q150" s="410"/>
      <c r="R150" s="410"/>
      <c r="S150" s="410"/>
      <c r="T150" s="410"/>
      <c r="U150" s="410"/>
      <c r="V150" s="410"/>
      <c r="W150" s="353"/>
    </row>
    <row r="151" spans="1:23" s="354" customFormat="1" ht="23.1" customHeight="1">
      <c r="A151" s="409"/>
      <c r="B151" s="409"/>
      <c r="C151" s="410"/>
      <c r="D151" s="410"/>
      <c r="E151" s="410"/>
      <c r="F151" s="410"/>
      <c r="G151" s="410"/>
      <c r="H151" s="410"/>
      <c r="I151" s="410"/>
      <c r="J151" s="410"/>
      <c r="K151" s="410"/>
      <c r="L151" s="410"/>
      <c r="M151" s="410"/>
      <c r="N151" s="410"/>
      <c r="O151" s="410"/>
      <c r="P151" s="410"/>
      <c r="Q151" s="410"/>
      <c r="R151" s="410"/>
      <c r="S151" s="410"/>
      <c r="T151" s="410"/>
      <c r="U151" s="410"/>
      <c r="V151" s="410"/>
      <c r="W151" s="353"/>
    </row>
    <row r="152" spans="1:23" s="354" customFormat="1" ht="23.1" customHeight="1">
      <c r="A152" s="409"/>
      <c r="B152" s="409"/>
      <c r="C152" s="410"/>
      <c r="D152" s="410"/>
      <c r="E152" s="410"/>
      <c r="F152" s="410"/>
      <c r="G152" s="410"/>
      <c r="H152" s="410"/>
      <c r="I152" s="410"/>
      <c r="J152" s="410"/>
      <c r="K152" s="410"/>
      <c r="L152" s="410"/>
      <c r="M152" s="410"/>
      <c r="N152" s="410"/>
      <c r="O152" s="410"/>
      <c r="P152" s="410"/>
      <c r="Q152" s="410"/>
      <c r="R152" s="410"/>
      <c r="S152" s="410"/>
      <c r="T152" s="410"/>
      <c r="U152" s="410"/>
      <c r="V152" s="410"/>
      <c r="W152" s="353"/>
    </row>
    <row r="153" spans="1:23" s="354" customFormat="1" ht="23.1" customHeight="1">
      <c r="A153" s="409"/>
      <c r="B153" s="409"/>
      <c r="C153" s="410"/>
      <c r="D153" s="410"/>
      <c r="E153" s="410"/>
      <c r="F153" s="410"/>
      <c r="G153" s="410"/>
      <c r="H153" s="410"/>
      <c r="I153" s="410"/>
      <c r="J153" s="410"/>
      <c r="K153" s="410"/>
      <c r="L153" s="410"/>
      <c r="M153" s="410"/>
      <c r="N153" s="410"/>
      <c r="O153" s="410"/>
      <c r="P153" s="410"/>
      <c r="Q153" s="410"/>
      <c r="R153" s="410"/>
      <c r="S153" s="410"/>
      <c r="T153" s="410"/>
      <c r="U153" s="410"/>
      <c r="V153" s="410"/>
      <c r="W153" s="353"/>
    </row>
    <row r="154" spans="1:23" s="354" customFormat="1" ht="23.1" customHeight="1">
      <c r="A154" s="409"/>
      <c r="B154" s="409"/>
      <c r="C154" s="410"/>
      <c r="D154" s="410"/>
      <c r="E154" s="410"/>
      <c r="F154" s="410"/>
      <c r="G154" s="410"/>
      <c r="H154" s="410"/>
      <c r="I154" s="410"/>
      <c r="J154" s="410"/>
      <c r="K154" s="410"/>
      <c r="L154" s="410"/>
      <c r="M154" s="410"/>
      <c r="N154" s="410"/>
      <c r="O154" s="410"/>
      <c r="P154" s="410"/>
      <c r="Q154" s="410"/>
      <c r="R154" s="410"/>
      <c r="S154" s="410"/>
      <c r="T154" s="410"/>
      <c r="U154" s="410"/>
      <c r="V154" s="410"/>
      <c r="W154" s="353"/>
    </row>
    <row r="155" spans="1:23" s="354" customFormat="1" ht="23.1" customHeight="1">
      <c r="A155" s="409"/>
      <c r="B155" s="409"/>
      <c r="C155" s="410"/>
      <c r="D155" s="410"/>
      <c r="E155" s="410"/>
      <c r="F155" s="410"/>
      <c r="G155" s="410"/>
      <c r="H155" s="410"/>
      <c r="I155" s="410"/>
      <c r="J155" s="410"/>
      <c r="K155" s="410"/>
      <c r="L155" s="410"/>
      <c r="M155" s="410"/>
      <c r="N155" s="410"/>
      <c r="O155" s="410"/>
      <c r="P155" s="410"/>
      <c r="Q155" s="410"/>
      <c r="R155" s="410"/>
      <c r="S155" s="410"/>
      <c r="T155" s="410"/>
      <c r="U155" s="410"/>
      <c r="V155" s="410"/>
      <c r="W155" s="353"/>
    </row>
    <row r="156" spans="1:23" s="354" customFormat="1" ht="23.1" customHeight="1">
      <c r="A156" s="409"/>
      <c r="B156" s="409"/>
      <c r="C156" s="410"/>
      <c r="D156" s="410"/>
      <c r="E156" s="410"/>
      <c r="F156" s="410"/>
      <c r="G156" s="410"/>
      <c r="H156" s="410"/>
      <c r="I156" s="410"/>
      <c r="J156" s="410"/>
      <c r="K156" s="410"/>
      <c r="L156" s="410"/>
      <c r="M156" s="410"/>
      <c r="N156" s="410"/>
      <c r="O156" s="410"/>
      <c r="P156" s="410"/>
      <c r="Q156" s="410"/>
      <c r="R156" s="410"/>
      <c r="S156" s="410"/>
      <c r="T156" s="410"/>
      <c r="U156" s="410"/>
      <c r="V156" s="410"/>
      <c r="W156" s="353"/>
    </row>
    <row r="157" spans="1:23" s="354" customFormat="1" ht="23.1" customHeight="1">
      <c r="A157" s="409"/>
      <c r="B157" s="409"/>
      <c r="C157" s="410"/>
      <c r="D157" s="410"/>
      <c r="E157" s="410"/>
      <c r="F157" s="410"/>
      <c r="G157" s="410"/>
      <c r="H157" s="410"/>
      <c r="I157" s="410"/>
      <c r="J157" s="410"/>
      <c r="K157" s="410"/>
      <c r="L157" s="410"/>
      <c r="M157" s="410"/>
      <c r="N157" s="410"/>
      <c r="O157" s="410"/>
      <c r="P157" s="410"/>
      <c r="Q157" s="410"/>
      <c r="R157" s="410"/>
      <c r="S157" s="410"/>
      <c r="T157" s="410"/>
      <c r="U157" s="410"/>
      <c r="V157" s="410"/>
      <c r="W157" s="353"/>
    </row>
    <row r="158" spans="1:23" s="354" customFormat="1" ht="23.1" customHeight="1">
      <c r="A158" s="409"/>
      <c r="B158" s="409"/>
      <c r="C158" s="410"/>
      <c r="D158" s="410"/>
      <c r="E158" s="410"/>
      <c r="F158" s="410"/>
      <c r="G158" s="410"/>
      <c r="H158" s="410"/>
      <c r="I158" s="410"/>
      <c r="J158" s="410"/>
      <c r="K158" s="410"/>
      <c r="L158" s="410"/>
      <c r="M158" s="410"/>
      <c r="N158" s="410"/>
      <c r="O158" s="410"/>
      <c r="P158" s="410"/>
      <c r="Q158" s="410"/>
      <c r="R158" s="410"/>
      <c r="S158" s="410"/>
      <c r="T158" s="410"/>
      <c r="U158" s="410"/>
      <c r="V158" s="410"/>
      <c r="W158" s="353"/>
    </row>
    <row r="159" spans="1:23" s="354" customFormat="1" ht="23.1" customHeight="1">
      <c r="A159" s="409"/>
      <c r="B159" s="409"/>
      <c r="C159" s="410"/>
      <c r="D159" s="410"/>
      <c r="E159" s="410"/>
      <c r="F159" s="410"/>
      <c r="G159" s="410"/>
      <c r="H159" s="410"/>
      <c r="I159" s="410"/>
      <c r="J159" s="410"/>
      <c r="K159" s="410"/>
      <c r="L159" s="410"/>
      <c r="M159" s="410"/>
      <c r="N159" s="410"/>
      <c r="O159" s="410"/>
      <c r="P159" s="410"/>
      <c r="Q159" s="410"/>
      <c r="R159" s="410"/>
      <c r="S159" s="410"/>
      <c r="T159" s="410"/>
      <c r="U159" s="410"/>
      <c r="V159" s="410"/>
      <c r="W159" s="353"/>
    </row>
    <row r="160" spans="1:23" s="354" customFormat="1" ht="23.1" customHeight="1">
      <c r="A160" s="409"/>
      <c r="B160" s="409"/>
      <c r="C160" s="410"/>
      <c r="D160" s="410"/>
      <c r="E160" s="410"/>
      <c r="F160" s="410"/>
      <c r="G160" s="410"/>
      <c r="H160" s="410"/>
      <c r="I160" s="410"/>
      <c r="J160" s="410"/>
      <c r="K160" s="410"/>
      <c r="L160" s="410"/>
      <c r="M160" s="410"/>
      <c r="N160" s="410"/>
      <c r="O160" s="410"/>
      <c r="P160" s="410"/>
      <c r="Q160" s="410"/>
      <c r="R160" s="410"/>
      <c r="S160" s="410"/>
      <c r="T160" s="410"/>
      <c r="U160" s="410"/>
      <c r="V160" s="410"/>
      <c r="W160" s="353"/>
    </row>
    <row r="161" spans="1:23" s="354" customFormat="1" ht="23.1" customHeight="1">
      <c r="A161" s="409"/>
      <c r="B161" s="409"/>
      <c r="C161" s="410"/>
      <c r="D161" s="410"/>
      <c r="E161" s="410"/>
      <c r="F161" s="410"/>
      <c r="G161" s="410"/>
      <c r="H161" s="410"/>
      <c r="I161" s="410"/>
      <c r="J161" s="410"/>
      <c r="K161" s="410"/>
      <c r="L161" s="410"/>
      <c r="M161" s="410"/>
      <c r="N161" s="410"/>
      <c r="O161" s="410"/>
      <c r="P161" s="410"/>
      <c r="Q161" s="410"/>
      <c r="R161" s="410"/>
      <c r="S161" s="410"/>
      <c r="T161" s="410"/>
      <c r="U161" s="410"/>
      <c r="V161" s="410"/>
      <c r="W161" s="353"/>
    </row>
    <row r="162" spans="1:23" s="354" customFormat="1" ht="23.1" customHeight="1">
      <c r="A162" s="409"/>
      <c r="B162" s="409"/>
      <c r="C162" s="410"/>
      <c r="D162" s="410"/>
      <c r="E162" s="410"/>
      <c r="F162" s="410"/>
      <c r="G162" s="410"/>
      <c r="H162" s="410"/>
      <c r="I162" s="410"/>
      <c r="J162" s="410"/>
      <c r="K162" s="410"/>
      <c r="L162" s="410"/>
      <c r="M162" s="410"/>
      <c r="N162" s="410"/>
      <c r="O162" s="410"/>
      <c r="P162" s="410"/>
      <c r="Q162" s="410"/>
      <c r="R162" s="410"/>
      <c r="S162" s="410"/>
      <c r="T162" s="410"/>
      <c r="U162" s="410"/>
      <c r="V162" s="410"/>
      <c r="W162" s="353"/>
    </row>
    <row r="163" spans="1:23" s="354" customFormat="1" ht="23.1" customHeight="1">
      <c r="A163" s="409"/>
      <c r="B163" s="409"/>
      <c r="C163" s="410"/>
      <c r="D163" s="410"/>
      <c r="E163" s="410"/>
      <c r="F163" s="410"/>
      <c r="G163" s="410"/>
      <c r="H163" s="410"/>
      <c r="I163" s="410"/>
      <c r="J163" s="410"/>
      <c r="K163" s="410"/>
      <c r="L163" s="410"/>
      <c r="M163" s="410"/>
      <c r="N163" s="410"/>
      <c r="O163" s="410"/>
      <c r="P163" s="410"/>
      <c r="Q163" s="410"/>
      <c r="R163" s="410"/>
      <c r="S163" s="410"/>
      <c r="T163" s="410"/>
      <c r="U163" s="410"/>
      <c r="V163" s="410"/>
      <c r="W163" s="353"/>
    </row>
    <row r="164" spans="1:23" s="354" customFormat="1" ht="23.1" customHeight="1">
      <c r="A164" s="409"/>
      <c r="B164" s="409"/>
      <c r="C164" s="410"/>
      <c r="D164" s="410"/>
      <c r="E164" s="410"/>
      <c r="F164" s="410"/>
      <c r="G164" s="410"/>
      <c r="H164" s="410"/>
      <c r="I164" s="410"/>
      <c r="J164" s="410"/>
      <c r="K164" s="410"/>
      <c r="L164" s="410"/>
      <c r="M164" s="410"/>
      <c r="N164" s="410"/>
      <c r="O164" s="410"/>
      <c r="P164" s="410"/>
      <c r="Q164" s="410"/>
      <c r="R164" s="410"/>
      <c r="S164" s="410"/>
      <c r="T164" s="410"/>
      <c r="U164" s="410"/>
      <c r="V164" s="410"/>
      <c r="W164" s="353"/>
    </row>
    <row r="165" spans="1:23" s="354" customFormat="1" ht="23.1" customHeight="1">
      <c r="A165" s="409"/>
      <c r="B165" s="409"/>
      <c r="C165" s="410"/>
      <c r="D165" s="410"/>
      <c r="E165" s="410"/>
      <c r="F165" s="410"/>
      <c r="G165" s="410"/>
      <c r="H165" s="410"/>
      <c r="I165" s="410"/>
      <c r="J165" s="410"/>
      <c r="K165" s="410"/>
      <c r="L165" s="410"/>
      <c r="M165" s="410"/>
      <c r="N165" s="410"/>
      <c r="O165" s="410"/>
      <c r="P165" s="410"/>
      <c r="Q165" s="410"/>
      <c r="R165" s="410"/>
      <c r="S165" s="410"/>
      <c r="T165" s="410"/>
      <c r="U165" s="410"/>
      <c r="V165" s="410"/>
      <c r="W165" s="353"/>
    </row>
    <row r="166" spans="1:23" s="354" customFormat="1" ht="23.1" customHeight="1">
      <c r="A166" s="409"/>
      <c r="B166" s="409"/>
      <c r="C166" s="410"/>
      <c r="D166" s="410"/>
      <c r="E166" s="410"/>
      <c r="F166" s="410"/>
      <c r="G166" s="410"/>
      <c r="H166" s="410"/>
      <c r="I166" s="410"/>
      <c r="J166" s="410"/>
      <c r="K166" s="410"/>
      <c r="L166" s="410"/>
      <c r="M166" s="410"/>
      <c r="N166" s="410"/>
      <c r="O166" s="410"/>
      <c r="P166" s="410"/>
      <c r="Q166" s="410"/>
      <c r="R166" s="410"/>
      <c r="S166" s="410"/>
      <c r="T166" s="410"/>
      <c r="U166" s="410"/>
      <c r="V166" s="410"/>
      <c r="W166" s="353"/>
    </row>
    <row r="167" spans="1:23" s="354" customFormat="1" ht="23.1" customHeight="1">
      <c r="A167" s="409"/>
      <c r="B167" s="409"/>
      <c r="C167" s="410"/>
      <c r="D167" s="410"/>
      <c r="E167" s="410"/>
      <c r="F167" s="410"/>
      <c r="G167" s="410"/>
      <c r="H167" s="410"/>
      <c r="I167" s="410"/>
      <c r="J167" s="410"/>
      <c r="K167" s="410"/>
      <c r="L167" s="410"/>
      <c r="M167" s="410"/>
      <c r="N167" s="410"/>
      <c r="O167" s="410"/>
      <c r="P167" s="410"/>
      <c r="Q167" s="410"/>
      <c r="R167" s="410"/>
      <c r="S167" s="410"/>
      <c r="T167" s="410"/>
      <c r="U167" s="410"/>
      <c r="V167" s="410"/>
      <c r="W167" s="353"/>
    </row>
    <row r="168" spans="1:23" s="354" customFormat="1" ht="23.1" customHeight="1">
      <c r="A168" s="409"/>
      <c r="B168" s="409"/>
      <c r="C168" s="410"/>
      <c r="D168" s="410"/>
      <c r="E168" s="410"/>
      <c r="F168" s="410"/>
      <c r="G168" s="410"/>
      <c r="H168" s="410"/>
      <c r="I168" s="410"/>
      <c r="J168" s="410"/>
      <c r="K168" s="410"/>
      <c r="L168" s="410"/>
      <c r="M168" s="410"/>
      <c r="N168" s="410"/>
      <c r="O168" s="410"/>
      <c r="P168" s="410"/>
      <c r="Q168" s="410"/>
      <c r="R168" s="410"/>
      <c r="S168" s="410"/>
      <c r="T168" s="410"/>
      <c r="U168" s="410"/>
      <c r="V168" s="410"/>
      <c r="W168" s="353"/>
    </row>
    <row r="169" spans="1:23" s="354" customFormat="1" ht="23.1" customHeight="1">
      <c r="A169" s="409"/>
      <c r="B169" s="409"/>
      <c r="C169" s="410"/>
      <c r="D169" s="410"/>
      <c r="E169" s="410"/>
      <c r="F169" s="410"/>
      <c r="G169" s="410"/>
      <c r="H169" s="410"/>
      <c r="I169" s="410"/>
      <c r="J169" s="410"/>
      <c r="K169" s="410"/>
      <c r="L169" s="410"/>
      <c r="M169" s="410"/>
      <c r="N169" s="410"/>
      <c r="O169" s="410"/>
      <c r="P169" s="410"/>
      <c r="Q169" s="410"/>
      <c r="R169" s="410"/>
      <c r="S169" s="410"/>
      <c r="T169" s="410"/>
      <c r="U169" s="410"/>
      <c r="V169" s="410"/>
      <c r="W169" s="353"/>
    </row>
    <row r="170" spans="1:23" s="354" customFormat="1" ht="23.1" customHeight="1">
      <c r="A170" s="409"/>
      <c r="B170" s="409"/>
      <c r="C170" s="410"/>
      <c r="D170" s="410"/>
      <c r="E170" s="410"/>
      <c r="F170" s="410"/>
      <c r="G170" s="410"/>
      <c r="H170" s="410"/>
      <c r="I170" s="410"/>
      <c r="J170" s="410"/>
      <c r="K170" s="410"/>
      <c r="L170" s="410"/>
      <c r="M170" s="410"/>
      <c r="N170" s="410"/>
      <c r="O170" s="410"/>
      <c r="P170" s="410"/>
      <c r="Q170" s="410"/>
      <c r="R170" s="410"/>
      <c r="S170" s="410"/>
      <c r="T170" s="410"/>
      <c r="U170" s="410"/>
      <c r="V170" s="410"/>
      <c r="W170" s="353"/>
    </row>
    <row r="171" spans="1:23" s="354" customFormat="1" ht="23.1" customHeight="1">
      <c r="A171" s="409"/>
      <c r="B171" s="409"/>
      <c r="C171" s="410"/>
      <c r="D171" s="410"/>
      <c r="E171" s="410"/>
      <c r="F171" s="410"/>
      <c r="G171" s="410"/>
      <c r="H171" s="410"/>
      <c r="I171" s="410"/>
      <c r="J171" s="410"/>
      <c r="K171" s="410"/>
      <c r="L171" s="410"/>
      <c r="M171" s="410"/>
      <c r="N171" s="410"/>
      <c r="O171" s="410"/>
      <c r="P171" s="410"/>
      <c r="Q171" s="410"/>
      <c r="R171" s="410"/>
      <c r="S171" s="410"/>
      <c r="T171" s="410"/>
      <c r="U171" s="410"/>
      <c r="V171" s="410"/>
      <c r="W171" s="353"/>
    </row>
    <row r="172" spans="1:23" s="354" customFormat="1" ht="23.1" customHeight="1">
      <c r="A172" s="409"/>
      <c r="B172" s="409"/>
      <c r="C172" s="410"/>
      <c r="D172" s="410"/>
      <c r="E172" s="410"/>
      <c r="F172" s="410"/>
      <c r="G172" s="410"/>
      <c r="H172" s="410"/>
      <c r="I172" s="410"/>
      <c r="J172" s="410"/>
      <c r="K172" s="410"/>
      <c r="L172" s="410"/>
      <c r="M172" s="410"/>
      <c r="N172" s="410"/>
      <c r="O172" s="410"/>
      <c r="P172" s="410"/>
      <c r="Q172" s="410"/>
      <c r="R172" s="410"/>
      <c r="S172" s="410"/>
      <c r="T172" s="410"/>
      <c r="U172" s="410"/>
      <c r="V172" s="410"/>
      <c r="W172" s="353"/>
    </row>
    <row r="173" spans="1:23" s="352" customFormat="1" ht="20.100000000000001" customHeight="1">
      <c r="A173" s="409"/>
      <c r="B173" s="409"/>
      <c r="C173" s="410"/>
      <c r="D173" s="410"/>
      <c r="E173" s="410"/>
      <c r="F173" s="410"/>
      <c r="G173" s="410"/>
      <c r="H173" s="410"/>
      <c r="I173" s="410"/>
      <c r="J173" s="410"/>
      <c r="K173" s="410"/>
      <c r="L173" s="410"/>
      <c r="M173" s="410"/>
      <c r="N173" s="410"/>
      <c r="O173" s="410"/>
      <c r="P173" s="410"/>
      <c r="Q173" s="410"/>
      <c r="R173" s="410"/>
      <c r="S173" s="410"/>
      <c r="T173" s="410"/>
      <c r="U173" s="410"/>
      <c r="V173" s="410"/>
    </row>
    <row r="174" spans="1:23" s="352" customFormat="1" ht="9.9499999999999993" customHeight="1">
      <c r="A174" s="409"/>
      <c r="B174" s="409"/>
      <c r="C174" s="410"/>
      <c r="D174" s="410"/>
      <c r="E174" s="410"/>
      <c r="F174" s="410"/>
      <c r="G174" s="410"/>
      <c r="H174" s="410"/>
      <c r="I174" s="410"/>
      <c r="J174" s="410"/>
      <c r="K174" s="410"/>
      <c r="L174" s="410"/>
      <c r="M174" s="410"/>
      <c r="N174" s="410"/>
      <c r="O174" s="410"/>
      <c r="P174" s="410"/>
      <c r="Q174" s="410"/>
      <c r="R174" s="410"/>
      <c r="S174" s="410"/>
      <c r="T174" s="410"/>
      <c r="U174" s="410"/>
      <c r="V174" s="410"/>
    </row>
    <row r="175" spans="1:23" s="354" customFormat="1" ht="27.95" customHeight="1">
      <c r="A175" s="409"/>
      <c r="B175" s="409"/>
      <c r="C175" s="410"/>
      <c r="D175" s="410"/>
      <c r="E175" s="410"/>
      <c r="F175" s="410"/>
      <c r="G175" s="410"/>
      <c r="H175" s="410"/>
      <c r="I175" s="410"/>
      <c r="J175" s="410"/>
      <c r="K175" s="410"/>
      <c r="L175" s="410"/>
      <c r="M175" s="410"/>
      <c r="N175" s="410"/>
      <c r="O175" s="410"/>
      <c r="P175" s="410"/>
      <c r="Q175" s="410"/>
      <c r="R175" s="410"/>
      <c r="S175" s="410"/>
      <c r="T175" s="410"/>
      <c r="U175" s="410"/>
      <c r="V175" s="410"/>
      <c r="W175" s="353"/>
    </row>
    <row r="176" spans="1:23" s="354" customFormat="1" ht="27.95" customHeight="1">
      <c r="A176" s="409"/>
      <c r="B176" s="409"/>
      <c r="C176" s="410"/>
      <c r="D176" s="410"/>
      <c r="E176" s="410"/>
      <c r="F176" s="410"/>
      <c r="G176" s="410"/>
      <c r="H176" s="410"/>
      <c r="I176" s="410"/>
      <c r="J176" s="410"/>
      <c r="K176" s="410"/>
      <c r="L176" s="410"/>
      <c r="M176" s="410"/>
      <c r="N176" s="410"/>
      <c r="O176" s="410"/>
      <c r="P176" s="410"/>
      <c r="Q176" s="410"/>
      <c r="R176" s="410"/>
      <c r="S176" s="410"/>
      <c r="T176" s="410"/>
      <c r="U176" s="410"/>
      <c r="V176" s="410"/>
      <c r="W176" s="353"/>
    </row>
    <row r="177" spans="1:23" s="354" customFormat="1" ht="23.1" customHeight="1">
      <c r="A177" s="409"/>
      <c r="B177" s="409"/>
      <c r="C177" s="410"/>
      <c r="D177" s="410"/>
      <c r="E177" s="410"/>
      <c r="F177" s="410"/>
      <c r="G177" s="410"/>
      <c r="H177" s="410"/>
      <c r="I177" s="410"/>
      <c r="J177" s="410"/>
      <c r="K177" s="410"/>
      <c r="L177" s="410"/>
      <c r="M177" s="410"/>
      <c r="N177" s="410"/>
      <c r="O177" s="410"/>
      <c r="P177" s="410"/>
      <c r="Q177" s="410"/>
      <c r="R177" s="410"/>
      <c r="S177" s="410"/>
      <c r="T177" s="410"/>
      <c r="U177" s="410"/>
      <c r="V177" s="410"/>
      <c r="W177" s="353"/>
    </row>
    <row r="178" spans="1:23" s="354" customFormat="1" ht="23.1" customHeight="1">
      <c r="A178" s="409"/>
      <c r="B178" s="409"/>
      <c r="C178" s="410"/>
      <c r="D178" s="410"/>
      <c r="E178" s="410"/>
      <c r="F178" s="410"/>
      <c r="G178" s="410"/>
      <c r="H178" s="410"/>
      <c r="I178" s="410"/>
      <c r="J178" s="410"/>
      <c r="K178" s="410"/>
      <c r="L178" s="410"/>
      <c r="M178" s="410"/>
      <c r="N178" s="410"/>
      <c r="O178" s="410"/>
      <c r="P178" s="410"/>
      <c r="Q178" s="410"/>
      <c r="R178" s="410"/>
      <c r="S178" s="410"/>
      <c r="T178" s="410"/>
      <c r="U178" s="410"/>
      <c r="V178" s="410"/>
      <c r="W178" s="353"/>
    </row>
    <row r="179" spans="1:23" s="354" customFormat="1" ht="23.1" customHeight="1">
      <c r="A179" s="409"/>
      <c r="B179" s="409"/>
      <c r="C179" s="410"/>
      <c r="D179" s="410"/>
      <c r="E179" s="410"/>
      <c r="F179" s="410"/>
      <c r="G179" s="410"/>
      <c r="H179" s="410"/>
      <c r="I179" s="410"/>
      <c r="J179" s="410"/>
      <c r="K179" s="410"/>
      <c r="L179" s="410"/>
      <c r="M179" s="410"/>
      <c r="N179" s="410"/>
      <c r="O179" s="410"/>
      <c r="P179" s="410"/>
      <c r="Q179" s="410"/>
      <c r="R179" s="410"/>
      <c r="S179" s="410"/>
      <c r="T179" s="410"/>
      <c r="U179" s="410"/>
      <c r="V179" s="410"/>
      <c r="W179" s="353"/>
    </row>
    <row r="180" spans="1:23" s="354" customFormat="1" ht="23.1" customHeight="1">
      <c r="A180" s="409"/>
      <c r="B180" s="409"/>
      <c r="C180" s="410"/>
      <c r="D180" s="410"/>
      <c r="E180" s="410"/>
      <c r="F180" s="410"/>
      <c r="G180" s="410"/>
      <c r="H180" s="410"/>
      <c r="I180" s="410"/>
      <c r="J180" s="410"/>
      <c r="K180" s="410"/>
      <c r="L180" s="410"/>
      <c r="M180" s="410"/>
      <c r="N180" s="410"/>
      <c r="O180" s="410"/>
      <c r="P180" s="410"/>
      <c r="Q180" s="410"/>
      <c r="R180" s="410"/>
      <c r="S180" s="410"/>
      <c r="T180" s="410"/>
      <c r="U180" s="410"/>
      <c r="V180" s="410"/>
      <c r="W180" s="353"/>
    </row>
    <row r="181" spans="1:23" s="354" customFormat="1" ht="23.1" customHeight="1">
      <c r="A181" s="409"/>
      <c r="B181" s="409"/>
      <c r="C181" s="410"/>
      <c r="D181" s="410"/>
      <c r="E181" s="410"/>
      <c r="F181" s="410"/>
      <c r="G181" s="410"/>
      <c r="H181" s="410"/>
      <c r="I181" s="410"/>
      <c r="J181" s="410"/>
      <c r="K181" s="410"/>
      <c r="L181" s="410"/>
      <c r="M181" s="410"/>
      <c r="N181" s="410"/>
      <c r="O181" s="410"/>
      <c r="P181" s="410"/>
      <c r="Q181" s="410"/>
      <c r="R181" s="410"/>
      <c r="S181" s="410"/>
      <c r="T181" s="410"/>
      <c r="U181" s="410"/>
      <c r="V181" s="410"/>
      <c r="W181" s="353"/>
    </row>
    <row r="182" spans="1:23" s="354" customFormat="1" ht="23.1" customHeight="1">
      <c r="A182" s="409"/>
      <c r="B182" s="409"/>
      <c r="C182" s="410"/>
      <c r="D182" s="410"/>
      <c r="E182" s="410"/>
      <c r="F182" s="410"/>
      <c r="G182" s="410"/>
      <c r="H182" s="410"/>
      <c r="I182" s="410"/>
      <c r="J182" s="410"/>
      <c r="K182" s="410"/>
      <c r="L182" s="410"/>
      <c r="M182" s="410"/>
      <c r="N182" s="410"/>
      <c r="O182" s="410"/>
      <c r="P182" s="410"/>
      <c r="Q182" s="410"/>
      <c r="R182" s="410"/>
      <c r="S182" s="410"/>
      <c r="T182" s="410"/>
      <c r="U182" s="410"/>
      <c r="V182" s="410"/>
      <c r="W182" s="353"/>
    </row>
    <row r="183" spans="1:23" s="354" customFormat="1" ht="23.1" customHeight="1">
      <c r="A183" s="409"/>
      <c r="B183" s="409"/>
      <c r="C183" s="410"/>
      <c r="D183" s="410"/>
      <c r="E183" s="410"/>
      <c r="F183" s="410"/>
      <c r="G183" s="410"/>
      <c r="H183" s="410"/>
      <c r="I183" s="410"/>
      <c r="J183" s="410"/>
      <c r="K183" s="410"/>
      <c r="L183" s="410"/>
      <c r="M183" s="410"/>
      <c r="N183" s="410"/>
      <c r="O183" s="410"/>
      <c r="P183" s="410"/>
      <c r="Q183" s="410"/>
      <c r="R183" s="410"/>
      <c r="S183" s="410"/>
      <c r="T183" s="410"/>
      <c r="U183" s="410"/>
      <c r="V183" s="410"/>
      <c r="W183" s="353"/>
    </row>
    <row r="184" spans="1:23" s="354" customFormat="1" ht="23.1" customHeight="1">
      <c r="A184" s="409"/>
      <c r="B184" s="409"/>
      <c r="C184" s="410"/>
      <c r="D184" s="410"/>
      <c r="E184" s="410"/>
      <c r="F184" s="410"/>
      <c r="G184" s="410"/>
      <c r="H184" s="410"/>
      <c r="I184" s="410"/>
      <c r="J184" s="410"/>
      <c r="K184" s="410"/>
      <c r="L184" s="410"/>
      <c r="M184" s="410"/>
      <c r="N184" s="410"/>
      <c r="O184" s="410"/>
      <c r="P184" s="410"/>
      <c r="Q184" s="410"/>
      <c r="R184" s="410"/>
      <c r="S184" s="410"/>
      <c r="T184" s="410"/>
      <c r="U184" s="410"/>
      <c r="V184" s="410"/>
      <c r="W184" s="353"/>
    </row>
    <row r="185" spans="1:23" s="354" customFormat="1" ht="23.1" customHeight="1">
      <c r="A185" s="409"/>
      <c r="B185" s="409"/>
      <c r="C185" s="410"/>
      <c r="D185" s="410"/>
      <c r="E185" s="410"/>
      <c r="F185" s="410"/>
      <c r="G185" s="410"/>
      <c r="H185" s="410"/>
      <c r="I185" s="410"/>
      <c r="J185" s="410"/>
      <c r="K185" s="410"/>
      <c r="L185" s="410"/>
      <c r="M185" s="410"/>
      <c r="N185" s="410"/>
      <c r="O185" s="410"/>
      <c r="P185" s="410"/>
      <c r="Q185" s="410"/>
      <c r="R185" s="410"/>
      <c r="S185" s="410"/>
      <c r="T185" s="410"/>
      <c r="U185" s="410"/>
      <c r="V185" s="410"/>
      <c r="W185" s="353"/>
    </row>
    <row r="186" spans="1:23" s="354" customFormat="1" ht="23.1" customHeight="1">
      <c r="A186" s="409"/>
      <c r="B186" s="409"/>
      <c r="C186" s="410"/>
      <c r="D186" s="410"/>
      <c r="E186" s="410"/>
      <c r="F186" s="410"/>
      <c r="G186" s="410"/>
      <c r="H186" s="410"/>
      <c r="I186" s="410"/>
      <c r="J186" s="410"/>
      <c r="K186" s="410"/>
      <c r="L186" s="410"/>
      <c r="M186" s="410"/>
      <c r="N186" s="410"/>
      <c r="O186" s="410"/>
      <c r="P186" s="410"/>
      <c r="Q186" s="410"/>
      <c r="R186" s="410"/>
      <c r="S186" s="410"/>
      <c r="T186" s="410"/>
      <c r="U186" s="410"/>
      <c r="V186" s="410"/>
      <c r="W186" s="353"/>
    </row>
    <row r="187" spans="1:23" s="354" customFormat="1" ht="23.1" customHeight="1">
      <c r="A187" s="409"/>
      <c r="B187" s="409"/>
      <c r="C187" s="410"/>
      <c r="D187" s="410"/>
      <c r="E187" s="410"/>
      <c r="F187" s="410"/>
      <c r="G187" s="410"/>
      <c r="H187" s="410"/>
      <c r="I187" s="410"/>
      <c r="J187" s="410"/>
      <c r="K187" s="410"/>
      <c r="L187" s="410"/>
      <c r="M187" s="410"/>
      <c r="N187" s="410"/>
      <c r="O187" s="410"/>
      <c r="P187" s="410"/>
      <c r="Q187" s="410"/>
      <c r="R187" s="410"/>
      <c r="S187" s="410"/>
      <c r="T187" s="410"/>
      <c r="U187" s="410"/>
      <c r="V187" s="410"/>
      <c r="W187" s="353"/>
    </row>
    <row r="188" spans="1:23" s="354" customFormat="1" ht="23.1" customHeight="1">
      <c r="A188" s="409"/>
      <c r="B188" s="409"/>
      <c r="C188" s="410"/>
      <c r="D188" s="410"/>
      <c r="E188" s="410"/>
      <c r="F188" s="410"/>
      <c r="G188" s="410"/>
      <c r="H188" s="410"/>
      <c r="I188" s="410"/>
      <c r="J188" s="410"/>
      <c r="K188" s="410"/>
      <c r="L188" s="410"/>
      <c r="M188" s="410"/>
      <c r="N188" s="410"/>
      <c r="O188" s="410"/>
      <c r="P188" s="410"/>
      <c r="Q188" s="410"/>
      <c r="R188" s="410"/>
      <c r="S188" s="410"/>
      <c r="T188" s="410"/>
      <c r="U188" s="410"/>
      <c r="V188" s="410"/>
      <c r="W188" s="353"/>
    </row>
    <row r="189" spans="1:23" s="354" customFormat="1" ht="23.1" customHeight="1">
      <c r="A189" s="409"/>
      <c r="B189" s="409"/>
      <c r="C189" s="410"/>
      <c r="D189" s="410"/>
      <c r="E189" s="410"/>
      <c r="F189" s="410"/>
      <c r="G189" s="410"/>
      <c r="H189" s="410"/>
      <c r="I189" s="410"/>
      <c r="J189" s="410"/>
      <c r="K189" s="410"/>
      <c r="L189" s="410"/>
      <c r="M189" s="410"/>
      <c r="N189" s="410"/>
      <c r="O189" s="410"/>
      <c r="P189" s="410"/>
      <c r="Q189" s="410"/>
      <c r="R189" s="410"/>
      <c r="S189" s="410"/>
      <c r="T189" s="410"/>
      <c r="U189" s="410"/>
      <c r="V189" s="410"/>
      <c r="W189" s="353"/>
    </row>
    <row r="190" spans="1:23" s="354" customFormat="1" ht="23.1" customHeight="1">
      <c r="A190" s="409"/>
      <c r="B190" s="409"/>
      <c r="C190" s="410"/>
      <c r="D190" s="410"/>
      <c r="E190" s="410"/>
      <c r="F190" s="410"/>
      <c r="G190" s="410"/>
      <c r="H190" s="410"/>
      <c r="I190" s="410"/>
      <c r="J190" s="410"/>
      <c r="K190" s="410"/>
      <c r="L190" s="410"/>
      <c r="M190" s="410"/>
      <c r="N190" s="410"/>
      <c r="O190" s="410"/>
      <c r="P190" s="410"/>
      <c r="Q190" s="410"/>
      <c r="R190" s="410"/>
      <c r="S190" s="410"/>
      <c r="T190" s="410"/>
      <c r="U190" s="410"/>
      <c r="V190" s="410"/>
      <c r="W190" s="353"/>
    </row>
    <row r="191" spans="1:23" s="354" customFormat="1" ht="23.1" customHeight="1">
      <c r="A191" s="409"/>
      <c r="B191" s="409"/>
      <c r="C191" s="410"/>
      <c r="D191" s="410"/>
      <c r="E191" s="410"/>
      <c r="F191" s="410"/>
      <c r="G191" s="410"/>
      <c r="H191" s="410"/>
      <c r="I191" s="410"/>
      <c r="J191" s="410"/>
      <c r="K191" s="410"/>
      <c r="L191" s="410"/>
      <c r="M191" s="410"/>
      <c r="N191" s="410"/>
      <c r="O191" s="410"/>
      <c r="P191" s="410"/>
      <c r="Q191" s="410"/>
      <c r="R191" s="410"/>
      <c r="S191" s="410"/>
      <c r="T191" s="410"/>
      <c r="U191" s="410"/>
      <c r="V191" s="410"/>
      <c r="W191" s="353"/>
    </row>
    <row r="192" spans="1:23" s="354" customFormat="1" ht="23.1" customHeight="1">
      <c r="A192" s="409"/>
      <c r="B192" s="409"/>
      <c r="C192" s="410"/>
      <c r="D192" s="410"/>
      <c r="E192" s="410"/>
      <c r="F192" s="410"/>
      <c r="G192" s="410"/>
      <c r="H192" s="410"/>
      <c r="I192" s="410"/>
      <c r="J192" s="410"/>
      <c r="K192" s="410"/>
      <c r="L192" s="410"/>
      <c r="M192" s="410"/>
      <c r="N192" s="410"/>
      <c r="O192" s="410"/>
      <c r="P192" s="410"/>
      <c r="Q192" s="410"/>
      <c r="R192" s="410"/>
      <c r="S192" s="410"/>
      <c r="T192" s="410"/>
      <c r="U192" s="410"/>
      <c r="V192" s="410"/>
      <c r="W192" s="353"/>
    </row>
    <row r="193" spans="1:23" s="354" customFormat="1" ht="23.1" customHeight="1">
      <c r="A193" s="409"/>
      <c r="B193" s="409"/>
      <c r="C193" s="410"/>
      <c r="D193" s="410"/>
      <c r="E193" s="410"/>
      <c r="F193" s="410"/>
      <c r="G193" s="410"/>
      <c r="H193" s="410"/>
      <c r="I193" s="410"/>
      <c r="J193" s="410"/>
      <c r="K193" s="410"/>
      <c r="L193" s="410"/>
      <c r="M193" s="410"/>
      <c r="N193" s="410"/>
      <c r="O193" s="410"/>
      <c r="P193" s="410"/>
      <c r="Q193" s="410"/>
      <c r="R193" s="410"/>
      <c r="S193" s="410"/>
      <c r="T193" s="410"/>
      <c r="U193" s="410"/>
      <c r="V193" s="410"/>
      <c r="W193" s="353"/>
    </row>
    <row r="194" spans="1:23" s="354" customFormat="1" ht="23.1" customHeight="1">
      <c r="A194" s="409"/>
      <c r="B194" s="409"/>
      <c r="C194" s="410"/>
      <c r="D194" s="410"/>
      <c r="E194" s="410"/>
      <c r="F194" s="410"/>
      <c r="G194" s="410"/>
      <c r="H194" s="410"/>
      <c r="I194" s="410"/>
      <c r="J194" s="410"/>
      <c r="K194" s="410"/>
      <c r="L194" s="410"/>
      <c r="M194" s="410"/>
      <c r="N194" s="410"/>
      <c r="O194" s="410"/>
      <c r="P194" s="410"/>
      <c r="Q194" s="410"/>
      <c r="R194" s="410"/>
      <c r="S194" s="410"/>
      <c r="T194" s="410"/>
      <c r="U194" s="410"/>
      <c r="V194" s="410"/>
      <c r="W194" s="353"/>
    </row>
    <row r="195" spans="1:23" s="354" customFormat="1" ht="23.1" customHeight="1">
      <c r="A195" s="409"/>
      <c r="B195" s="409"/>
      <c r="C195" s="410"/>
      <c r="D195" s="410"/>
      <c r="E195" s="410"/>
      <c r="F195" s="410"/>
      <c r="G195" s="410"/>
      <c r="H195" s="410"/>
      <c r="I195" s="410"/>
      <c r="J195" s="410"/>
      <c r="K195" s="410"/>
      <c r="L195" s="410"/>
      <c r="M195" s="410"/>
      <c r="N195" s="410"/>
      <c r="O195" s="410"/>
      <c r="P195" s="410"/>
      <c r="Q195" s="410"/>
      <c r="R195" s="410"/>
      <c r="S195" s="410"/>
      <c r="T195" s="410"/>
      <c r="U195" s="410"/>
      <c r="V195" s="410"/>
      <c r="W195" s="353"/>
    </row>
    <row r="196" spans="1:23" s="354" customFormat="1" ht="23.1" customHeight="1">
      <c r="A196" s="409"/>
      <c r="B196" s="409"/>
      <c r="C196" s="410"/>
      <c r="D196" s="410"/>
      <c r="E196" s="410"/>
      <c r="F196" s="410"/>
      <c r="G196" s="410"/>
      <c r="H196" s="410"/>
      <c r="I196" s="410"/>
      <c r="J196" s="410"/>
      <c r="K196" s="410"/>
      <c r="L196" s="410"/>
      <c r="M196" s="410"/>
      <c r="N196" s="410"/>
      <c r="O196" s="410"/>
      <c r="P196" s="410"/>
      <c r="Q196" s="410"/>
      <c r="R196" s="410"/>
      <c r="S196" s="410"/>
      <c r="T196" s="410"/>
      <c r="U196" s="410"/>
      <c r="V196" s="410"/>
      <c r="W196" s="353"/>
    </row>
    <row r="197" spans="1:23" s="354" customFormat="1" ht="23.1" customHeight="1">
      <c r="A197" s="409"/>
      <c r="B197" s="409"/>
      <c r="C197" s="410"/>
      <c r="D197" s="410"/>
      <c r="E197" s="410"/>
      <c r="F197" s="410"/>
      <c r="G197" s="410"/>
      <c r="H197" s="410"/>
      <c r="I197" s="410"/>
      <c r="J197" s="410"/>
      <c r="K197" s="410"/>
      <c r="L197" s="410"/>
      <c r="M197" s="410"/>
      <c r="N197" s="410"/>
      <c r="O197" s="410"/>
      <c r="P197" s="410"/>
      <c r="Q197" s="410"/>
      <c r="R197" s="410"/>
      <c r="S197" s="410"/>
      <c r="T197" s="410"/>
      <c r="U197" s="410"/>
      <c r="V197" s="410"/>
      <c r="W197" s="353"/>
    </row>
    <row r="198" spans="1:23" s="354" customFormat="1" ht="23.1" customHeight="1">
      <c r="A198" s="409"/>
      <c r="B198" s="409"/>
      <c r="C198" s="410"/>
      <c r="D198" s="410"/>
      <c r="E198" s="410"/>
      <c r="F198" s="410"/>
      <c r="G198" s="410"/>
      <c r="H198" s="410"/>
      <c r="I198" s="410"/>
      <c r="J198" s="410"/>
      <c r="K198" s="410"/>
      <c r="L198" s="410"/>
      <c r="M198" s="410"/>
      <c r="N198" s="410"/>
      <c r="O198" s="410"/>
      <c r="P198" s="410"/>
      <c r="Q198" s="410"/>
      <c r="R198" s="410"/>
      <c r="S198" s="410"/>
      <c r="T198" s="410"/>
      <c r="U198" s="410"/>
      <c r="V198" s="410"/>
      <c r="W198" s="353"/>
    </row>
    <row r="199" spans="1:23" s="354" customFormat="1" ht="23.1" customHeight="1">
      <c r="A199" s="409"/>
      <c r="B199" s="409"/>
      <c r="C199" s="410"/>
      <c r="D199" s="410"/>
      <c r="E199" s="410"/>
      <c r="F199" s="410"/>
      <c r="G199" s="410"/>
      <c r="H199" s="410"/>
      <c r="I199" s="410"/>
      <c r="J199" s="410"/>
      <c r="K199" s="410"/>
      <c r="L199" s="410"/>
      <c r="M199" s="410"/>
      <c r="N199" s="410"/>
      <c r="O199" s="410"/>
      <c r="P199" s="410"/>
      <c r="Q199" s="410"/>
      <c r="R199" s="410"/>
      <c r="S199" s="410"/>
      <c r="T199" s="410"/>
      <c r="U199" s="410"/>
      <c r="V199" s="410"/>
      <c r="W199" s="353"/>
    </row>
    <row r="200" spans="1:23" s="354" customFormat="1" ht="23.1" customHeight="1">
      <c r="A200" s="409"/>
      <c r="B200" s="409"/>
      <c r="C200" s="410"/>
      <c r="D200" s="410"/>
      <c r="E200" s="410"/>
      <c r="F200" s="410"/>
      <c r="G200" s="410"/>
      <c r="H200" s="410"/>
      <c r="I200" s="410"/>
      <c r="J200" s="410"/>
      <c r="K200" s="410"/>
      <c r="L200" s="410"/>
      <c r="M200" s="410"/>
      <c r="N200" s="410"/>
      <c r="O200" s="410"/>
      <c r="P200" s="410"/>
      <c r="Q200" s="410"/>
      <c r="R200" s="410"/>
      <c r="S200" s="410"/>
      <c r="T200" s="410"/>
      <c r="U200" s="410"/>
      <c r="V200" s="410"/>
      <c r="W200" s="353"/>
    </row>
    <row r="201" spans="1:23" s="354" customFormat="1" ht="23.1" customHeight="1">
      <c r="A201" s="409"/>
      <c r="B201" s="409"/>
      <c r="C201" s="410"/>
      <c r="D201" s="410"/>
      <c r="E201" s="410"/>
      <c r="F201" s="410"/>
      <c r="G201" s="410"/>
      <c r="H201" s="410"/>
      <c r="I201" s="410"/>
      <c r="J201" s="410"/>
      <c r="K201" s="410"/>
      <c r="L201" s="410"/>
      <c r="M201" s="410"/>
      <c r="N201" s="410"/>
      <c r="O201" s="410"/>
      <c r="P201" s="410"/>
      <c r="Q201" s="410"/>
      <c r="R201" s="410"/>
      <c r="S201" s="410"/>
      <c r="T201" s="410"/>
      <c r="U201" s="410"/>
      <c r="V201" s="410"/>
      <c r="W201" s="353"/>
    </row>
    <row r="202" spans="1:23" s="354" customFormat="1" ht="23.1" customHeight="1">
      <c r="A202" s="409"/>
      <c r="B202" s="409"/>
      <c r="C202" s="410"/>
      <c r="D202" s="410"/>
      <c r="E202" s="410"/>
      <c r="F202" s="410"/>
      <c r="G202" s="410"/>
      <c r="H202" s="410"/>
      <c r="I202" s="410"/>
      <c r="J202" s="410"/>
      <c r="K202" s="410"/>
      <c r="L202" s="410"/>
      <c r="M202" s="410"/>
      <c r="N202" s="410"/>
      <c r="O202" s="410"/>
      <c r="P202" s="410"/>
      <c r="Q202" s="410"/>
      <c r="R202" s="410"/>
      <c r="S202" s="410"/>
      <c r="T202" s="410"/>
      <c r="U202" s="410"/>
      <c r="V202" s="410"/>
      <c r="W202" s="353"/>
    </row>
    <row r="203" spans="1:23" s="352" customFormat="1" ht="20.100000000000001" customHeight="1">
      <c r="A203" s="409"/>
      <c r="B203" s="409"/>
      <c r="C203" s="410"/>
      <c r="D203" s="410"/>
      <c r="E203" s="410"/>
      <c r="F203" s="410"/>
      <c r="G203" s="410"/>
      <c r="H203" s="410"/>
      <c r="I203" s="410"/>
      <c r="J203" s="410"/>
      <c r="K203" s="410"/>
      <c r="L203" s="410"/>
      <c r="M203" s="410"/>
      <c r="N203" s="410"/>
      <c r="O203" s="410"/>
      <c r="P203" s="410"/>
      <c r="Q203" s="410"/>
      <c r="R203" s="410"/>
      <c r="S203" s="410"/>
      <c r="T203" s="410"/>
      <c r="U203" s="410"/>
      <c r="V203" s="410"/>
    </row>
    <row r="204" spans="1:23" s="352" customFormat="1" ht="9.9499999999999993" customHeight="1">
      <c r="A204" s="409"/>
      <c r="B204" s="409"/>
      <c r="C204" s="410"/>
      <c r="D204" s="410"/>
      <c r="E204" s="410"/>
      <c r="F204" s="410"/>
      <c r="G204" s="410"/>
      <c r="H204" s="410"/>
      <c r="I204" s="410"/>
      <c r="J204" s="410"/>
      <c r="K204" s="410"/>
      <c r="L204" s="410"/>
      <c r="M204" s="410"/>
      <c r="N204" s="410"/>
      <c r="O204" s="410"/>
      <c r="P204" s="410"/>
      <c r="Q204" s="410"/>
      <c r="R204" s="410"/>
      <c r="S204" s="410"/>
      <c r="T204" s="410"/>
      <c r="U204" s="410"/>
      <c r="V204" s="410"/>
    </row>
    <row r="205" spans="1:23" s="354" customFormat="1" ht="27.95" customHeight="1">
      <c r="A205" s="409"/>
      <c r="B205" s="409"/>
      <c r="C205" s="410"/>
      <c r="D205" s="410"/>
      <c r="E205" s="410"/>
      <c r="F205" s="410"/>
      <c r="G205" s="410"/>
      <c r="H205" s="410"/>
      <c r="I205" s="410"/>
      <c r="J205" s="410"/>
      <c r="K205" s="410"/>
      <c r="L205" s="410"/>
      <c r="M205" s="410"/>
      <c r="N205" s="410"/>
      <c r="O205" s="410"/>
      <c r="P205" s="410"/>
      <c r="Q205" s="410"/>
      <c r="R205" s="410"/>
      <c r="S205" s="410"/>
      <c r="T205" s="410"/>
      <c r="U205" s="410"/>
      <c r="V205" s="410"/>
      <c r="W205" s="353"/>
    </row>
    <row r="206" spans="1:23" s="354" customFormat="1" ht="27.95" customHeight="1">
      <c r="A206" s="409"/>
      <c r="B206" s="409"/>
      <c r="C206" s="410"/>
      <c r="D206" s="410"/>
      <c r="E206" s="410"/>
      <c r="F206" s="410"/>
      <c r="G206" s="410"/>
      <c r="H206" s="410"/>
      <c r="I206" s="410"/>
      <c r="J206" s="410"/>
      <c r="K206" s="410"/>
      <c r="L206" s="410"/>
      <c r="M206" s="410"/>
      <c r="N206" s="410"/>
      <c r="O206" s="410"/>
      <c r="P206" s="410"/>
      <c r="Q206" s="410"/>
      <c r="R206" s="410"/>
      <c r="S206" s="410"/>
      <c r="T206" s="410"/>
      <c r="U206" s="410"/>
      <c r="V206" s="410"/>
      <c r="W206" s="353"/>
    </row>
    <row r="207" spans="1:23" s="354" customFormat="1" ht="23.1" customHeight="1">
      <c r="A207" s="409"/>
      <c r="B207" s="409"/>
      <c r="C207" s="410"/>
      <c r="D207" s="410"/>
      <c r="E207" s="410"/>
      <c r="F207" s="410"/>
      <c r="G207" s="410"/>
      <c r="H207" s="410"/>
      <c r="I207" s="410"/>
      <c r="J207" s="410"/>
      <c r="K207" s="410"/>
      <c r="L207" s="410"/>
      <c r="M207" s="410"/>
      <c r="N207" s="410"/>
      <c r="O207" s="410"/>
      <c r="P207" s="410"/>
      <c r="Q207" s="410"/>
      <c r="R207" s="410"/>
      <c r="S207" s="410"/>
      <c r="T207" s="410"/>
      <c r="U207" s="410"/>
      <c r="V207" s="410"/>
      <c r="W207" s="353"/>
    </row>
    <row r="208" spans="1:23" s="354" customFormat="1" ht="23.1" customHeight="1">
      <c r="A208" s="409"/>
      <c r="B208" s="409"/>
      <c r="C208" s="410"/>
      <c r="D208" s="410"/>
      <c r="E208" s="410"/>
      <c r="F208" s="410"/>
      <c r="G208" s="410"/>
      <c r="H208" s="410"/>
      <c r="I208" s="410"/>
      <c r="J208" s="410"/>
      <c r="K208" s="410"/>
      <c r="L208" s="410"/>
      <c r="M208" s="410"/>
      <c r="N208" s="410"/>
      <c r="O208" s="410"/>
      <c r="P208" s="410"/>
      <c r="Q208" s="410"/>
      <c r="R208" s="410"/>
      <c r="S208" s="410"/>
      <c r="T208" s="410"/>
      <c r="U208" s="410"/>
      <c r="V208" s="410"/>
      <c r="W208" s="353"/>
    </row>
    <row r="209" spans="1:23" s="354" customFormat="1" ht="23.1" customHeight="1">
      <c r="A209" s="409"/>
      <c r="B209" s="409"/>
      <c r="C209" s="410"/>
      <c r="D209" s="410"/>
      <c r="E209" s="410"/>
      <c r="F209" s="410"/>
      <c r="G209" s="410"/>
      <c r="H209" s="410"/>
      <c r="I209" s="410"/>
      <c r="J209" s="410"/>
      <c r="K209" s="410"/>
      <c r="L209" s="410"/>
      <c r="M209" s="410"/>
      <c r="N209" s="410"/>
      <c r="O209" s="410"/>
      <c r="P209" s="410"/>
      <c r="Q209" s="410"/>
      <c r="R209" s="410"/>
      <c r="S209" s="410"/>
      <c r="T209" s="410"/>
      <c r="U209" s="410"/>
      <c r="V209" s="410"/>
      <c r="W209" s="353"/>
    </row>
    <row r="210" spans="1:23" s="354" customFormat="1" ht="23.1" customHeight="1">
      <c r="A210" s="409"/>
      <c r="B210" s="409"/>
      <c r="C210" s="410"/>
      <c r="D210" s="410"/>
      <c r="E210" s="410"/>
      <c r="F210" s="410"/>
      <c r="G210" s="410"/>
      <c r="H210" s="410"/>
      <c r="I210" s="410"/>
      <c r="J210" s="410"/>
      <c r="K210" s="410"/>
      <c r="L210" s="410"/>
      <c r="M210" s="410"/>
      <c r="N210" s="410"/>
      <c r="O210" s="410"/>
      <c r="P210" s="410"/>
      <c r="Q210" s="410"/>
      <c r="R210" s="410"/>
      <c r="S210" s="410"/>
      <c r="T210" s="410"/>
      <c r="U210" s="410"/>
      <c r="V210" s="410"/>
      <c r="W210" s="353"/>
    </row>
    <row r="211" spans="1:23" s="354" customFormat="1" ht="23.1" customHeight="1">
      <c r="A211" s="409"/>
      <c r="B211" s="409"/>
      <c r="C211" s="410"/>
      <c r="D211" s="410"/>
      <c r="E211" s="410"/>
      <c r="F211" s="410"/>
      <c r="G211" s="410"/>
      <c r="H211" s="410"/>
      <c r="I211" s="410"/>
      <c r="J211" s="410"/>
      <c r="K211" s="410"/>
      <c r="L211" s="410"/>
      <c r="M211" s="410"/>
      <c r="N211" s="410"/>
      <c r="O211" s="410"/>
      <c r="P211" s="410"/>
      <c r="Q211" s="410"/>
      <c r="R211" s="410"/>
      <c r="S211" s="410"/>
      <c r="T211" s="410"/>
      <c r="U211" s="410"/>
      <c r="V211" s="410"/>
      <c r="W211" s="353"/>
    </row>
    <row r="212" spans="1:23" s="354" customFormat="1" ht="23.1" customHeight="1">
      <c r="A212" s="409"/>
      <c r="B212" s="409"/>
      <c r="C212" s="410"/>
      <c r="D212" s="410"/>
      <c r="E212" s="410"/>
      <c r="F212" s="410"/>
      <c r="G212" s="410"/>
      <c r="H212" s="410"/>
      <c r="I212" s="410"/>
      <c r="J212" s="410"/>
      <c r="K212" s="410"/>
      <c r="L212" s="410"/>
      <c r="M212" s="410"/>
      <c r="N212" s="410"/>
      <c r="O212" s="410"/>
      <c r="P212" s="410"/>
      <c r="Q212" s="410"/>
      <c r="R212" s="410"/>
      <c r="S212" s="410"/>
      <c r="T212" s="410"/>
      <c r="U212" s="410"/>
      <c r="V212" s="410"/>
      <c r="W212" s="353"/>
    </row>
    <row r="213" spans="1:23" s="354" customFormat="1" ht="23.1" customHeight="1">
      <c r="A213" s="409"/>
      <c r="B213" s="409"/>
      <c r="C213" s="410"/>
      <c r="D213" s="410"/>
      <c r="E213" s="410"/>
      <c r="F213" s="410"/>
      <c r="G213" s="410"/>
      <c r="H213" s="410"/>
      <c r="I213" s="410"/>
      <c r="J213" s="410"/>
      <c r="K213" s="410"/>
      <c r="L213" s="410"/>
      <c r="M213" s="410"/>
      <c r="N213" s="410"/>
      <c r="O213" s="410"/>
      <c r="P213" s="410"/>
      <c r="Q213" s="410"/>
      <c r="R213" s="410"/>
      <c r="S213" s="410"/>
      <c r="T213" s="410"/>
      <c r="U213" s="410"/>
      <c r="V213" s="410"/>
      <c r="W213" s="353"/>
    </row>
    <row r="214" spans="1:23" s="354" customFormat="1" ht="23.1" customHeight="1">
      <c r="A214" s="409"/>
      <c r="B214" s="409"/>
      <c r="C214" s="410"/>
      <c r="D214" s="410"/>
      <c r="E214" s="410"/>
      <c r="F214" s="410"/>
      <c r="G214" s="410"/>
      <c r="H214" s="410"/>
      <c r="I214" s="410"/>
      <c r="J214" s="410"/>
      <c r="K214" s="410"/>
      <c r="L214" s="410"/>
      <c r="M214" s="410"/>
      <c r="N214" s="410"/>
      <c r="O214" s="410"/>
      <c r="P214" s="410"/>
      <c r="Q214" s="410"/>
      <c r="R214" s="410"/>
      <c r="S214" s="410"/>
      <c r="T214" s="410"/>
      <c r="U214" s="410"/>
      <c r="V214" s="410"/>
      <c r="W214" s="353"/>
    </row>
    <row r="215" spans="1:23" s="354" customFormat="1" ht="23.1" customHeight="1">
      <c r="A215" s="409"/>
      <c r="B215" s="409"/>
      <c r="C215" s="410"/>
      <c r="D215" s="410"/>
      <c r="E215" s="410"/>
      <c r="F215" s="410"/>
      <c r="G215" s="410"/>
      <c r="H215" s="410"/>
      <c r="I215" s="410"/>
      <c r="J215" s="410"/>
      <c r="K215" s="410"/>
      <c r="L215" s="410"/>
      <c r="M215" s="410"/>
      <c r="N215" s="410"/>
      <c r="O215" s="410"/>
      <c r="P215" s="410"/>
      <c r="Q215" s="410"/>
      <c r="R215" s="410"/>
      <c r="S215" s="410"/>
      <c r="T215" s="410"/>
      <c r="U215" s="410"/>
      <c r="V215" s="410"/>
      <c r="W215" s="353"/>
    </row>
    <row r="216" spans="1:23" s="354" customFormat="1" ht="23.1" customHeight="1">
      <c r="A216" s="409"/>
      <c r="B216" s="409"/>
      <c r="C216" s="410"/>
      <c r="D216" s="410"/>
      <c r="E216" s="410"/>
      <c r="F216" s="410"/>
      <c r="G216" s="410"/>
      <c r="H216" s="410"/>
      <c r="I216" s="410"/>
      <c r="J216" s="410"/>
      <c r="K216" s="410"/>
      <c r="L216" s="410"/>
      <c r="M216" s="410"/>
      <c r="N216" s="410"/>
      <c r="O216" s="410"/>
      <c r="P216" s="410"/>
      <c r="Q216" s="410"/>
      <c r="R216" s="410"/>
      <c r="S216" s="410"/>
      <c r="T216" s="410"/>
      <c r="U216" s="410"/>
      <c r="V216" s="410"/>
      <c r="W216" s="353"/>
    </row>
    <row r="217" spans="1:23" s="354" customFormat="1" ht="23.1" customHeight="1">
      <c r="A217" s="409"/>
      <c r="B217" s="409"/>
      <c r="C217" s="410"/>
      <c r="D217" s="410"/>
      <c r="E217" s="410"/>
      <c r="F217" s="410"/>
      <c r="G217" s="410"/>
      <c r="H217" s="410"/>
      <c r="I217" s="410"/>
      <c r="J217" s="410"/>
      <c r="K217" s="410"/>
      <c r="L217" s="410"/>
      <c r="M217" s="410"/>
      <c r="N217" s="410"/>
      <c r="O217" s="410"/>
      <c r="P217" s="410"/>
      <c r="Q217" s="410"/>
      <c r="R217" s="410"/>
      <c r="S217" s="410"/>
      <c r="T217" s="410"/>
      <c r="U217" s="410"/>
      <c r="V217" s="410"/>
      <c r="W217" s="353"/>
    </row>
    <row r="218" spans="1:23" s="354" customFormat="1" ht="23.1" customHeight="1">
      <c r="A218" s="409"/>
      <c r="B218" s="409"/>
      <c r="C218" s="410"/>
      <c r="D218" s="410"/>
      <c r="E218" s="410"/>
      <c r="F218" s="410"/>
      <c r="G218" s="410"/>
      <c r="H218" s="410"/>
      <c r="I218" s="410"/>
      <c r="J218" s="410"/>
      <c r="K218" s="410"/>
      <c r="L218" s="410"/>
      <c r="M218" s="410"/>
      <c r="N218" s="410"/>
      <c r="O218" s="410"/>
      <c r="P218" s="410"/>
      <c r="Q218" s="410"/>
      <c r="R218" s="410"/>
      <c r="S218" s="410"/>
      <c r="T218" s="410"/>
      <c r="U218" s="410"/>
      <c r="V218" s="410"/>
      <c r="W218" s="353"/>
    </row>
    <row r="219" spans="1:23" s="354" customFormat="1" ht="23.1" customHeight="1">
      <c r="A219" s="409"/>
      <c r="B219" s="409"/>
      <c r="C219" s="410"/>
      <c r="D219" s="410"/>
      <c r="E219" s="410"/>
      <c r="F219" s="410"/>
      <c r="G219" s="410"/>
      <c r="H219" s="410"/>
      <c r="I219" s="410"/>
      <c r="J219" s="410"/>
      <c r="K219" s="410"/>
      <c r="L219" s="410"/>
      <c r="M219" s="410"/>
      <c r="N219" s="410"/>
      <c r="O219" s="410"/>
      <c r="P219" s="410"/>
      <c r="Q219" s="410"/>
      <c r="R219" s="410"/>
      <c r="S219" s="410"/>
      <c r="T219" s="410"/>
      <c r="U219" s="410"/>
      <c r="V219" s="410"/>
      <c r="W219" s="353"/>
    </row>
    <row r="220" spans="1:23" s="354" customFormat="1" ht="23.1" customHeight="1">
      <c r="A220" s="409"/>
      <c r="B220" s="409"/>
      <c r="C220" s="410"/>
      <c r="D220" s="410"/>
      <c r="E220" s="410"/>
      <c r="F220" s="410"/>
      <c r="G220" s="410"/>
      <c r="H220" s="410"/>
      <c r="I220" s="410"/>
      <c r="J220" s="410"/>
      <c r="K220" s="410"/>
      <c r="L220" s="410"/>
      <c r="M220" s="410"/>
      <c r="N220" s="410"/>
      <c r="O220" s="410"/>
      <c r="P220" s="410"/>
      <c r="Q220" s="410"/>
      <c r="R220" s="410"/>
      <c r="S220" s="410"/>
      <c r="T220" s="410"/>
      <c r="U220" s="410"/>
      <c r="V220" s="410"/>
      <c r="W220" s="353"/>
    </row>
    <row r="221" spans="1:23" s="354" customFormat="1" ht="23.1" customHeight="1">
      <c r="A221" s="409"/>
      <c r="B221" s="409"/>
      <c r="C221" s="410"/>
      <c r="D221" s="410"/>
      <c r="E221" s="410"/>
      <c r="F221" s="410"/>
      <c r="G221" s="410"/>
      <c r="H221" s="410"/>
      <c r="I221" s="410"/>
      <c r="J221" s="410"/>
      <c r="K221" s="410"/>
      <c r="L221" s="410"/>
      <c r="M221" s="410"/>
      <c r="N221" s="410"/>
      <c r="O221" s="410"/>
      <c r="P221" s="410"/>
      <c r="Q221" s="410"/>
      <c r="R221" s="410"/>
      <c r="S221" s="410"/>
      <c r="T221" s="410"/>
      <c r="U221" s="410"/>
      <c r="V221" s="410"/>
      <c r="W221" s="353"/>
    </row>
    <row r="222" spans="1:23" s="354" customFormat="1" ht="23.1" customHeight="1">
      <c r="A222" s="409"/>
      <c r="B222" s="409"/>
      <c r="C222" s="410"/>
      <c r="D222" s="410"/>
      <c r="E222" s="410"/>
      <c r="F222" s="410"/>
      <c r="G222" s="410"/>
      <c r="H222" s="410"/>
      <c r="I222" s="410"/>
      <c r="J222" s="410"/>
      <c r="K222" s="410"/>
      <c r="L222" s="410"/>
      <c r="M222" s="410"/>
      <c r="N222" s="410"/>
      <c r="O222" s="410"/>
      <c r="P222" s="410"/>
      <c r="Q222" s="410"/>
      <c r="R222" s="410"/>
      <c r="S222" s="410"/>
      <c r="T222" s="410"/>
      <c r="U222" s="410"/>
      <c r="V222" s="410"/>
      <c r="W222" s="353"/>
    </row>
    <row r="223" spans="1:23" s="354" customFormat="1" ht="23.1" customHeight="1">
      <c r="A223" s="409"/>
      <c r="B223" s="409"/>
      <c r="C223" s="410"/>
      <c r="D223" s="410"/>
      <c r="E223" s="410"/>
      <c r="F223" s="410"/>
      <c r="G223" s="410"/>
      <c r="H223" s="410"/>
      <c r="I223" s="410"/>
      <c r="J223" s="410"/>
      <c r="K223" s="410"/>
      <c r="L223" s="410"/>
      <c r="M223" s="410"/>
      <c r="N223" s="410"/>
      <c r="O223" s="410"/>
      <c r="P223" s="410"/>
      <c r="Q223" s="410"/>
      <c r="R223" s="410"/>
      <c r="S223" s="410"/>
      <c r="T223" s="410"/>
      <c r="U223" s="410"/>
      <c r="V223" s="410"/>
      <c r="W223" s="353"/>
    </row>
    <row r="224" spans="1:23" s="354" customFormat="1" ht="23.1" customHeight="1">
      <c r="A224" s="409"/>
      <c r="B224" s="409"/>
      <c r="C224" s="410"/>
      <c r="D224" s="410"/>
      <c r="E224" s="410"/>
      <c r="F224" s="410"/>
      <c r="G224" s="410"/>
      <c r="H224" s="410"/>
      <c r="I224" s="410"/>
      <c r="J224" s="410"/>
      <c r="K224" s="410"/>
      <c r="L224" s="410"/>
      <c r="M224" s="410"/>
      <c r="N224" s="410"/>
      <c r="O224" s="410"/>
      <c r="P224" s="410"/>
      <c r="Q224" s="410"/>
      <c r="R224" s="410"/>
      <c r="S224" s="410"/>
      <c r="T224" s="410"/>
      <c r="U224" s="410"/>
      <c r="V224" s="410"/>
      <c r="W224" s="353"/>
    </row>
    <row r="225" spans="1:23" s="354" customFormat="1" ht="23.1" customHeight="1">
      <c r="A225" s="409"/>
      <c r="B225" s="409"/>
      <c r="C225" s="410"/>
      <c r="D225" s="410"/>
      <c r="E225" s="410"/>
      <c r="F225" s="410"/>
      <c r="G225" s="410"/>
      <c r="H225" s="410"/>
      <c r="I225" s="410"/>
      <c r="J225" s="410"/>
      <c r="K225" s="410"/>
      <c r="L225" s="410"/>
      <c r="M225" s="410"/>
      <c r="N225" s="410"/>
      <c r="O225" s="410"/>
      <c r="P225" s="410"/>
      <c r="Q225" s="410"/>
      <c r="R225" s="410"/>
      <c r="S225" s="410"/>
      <c r="T225" s="410"/>
      <c r="U225" s="410"/>
      <c r="V225" s="410"/>
      <c r="W225" s="353"/>
    </row>
    <row r="226" spans="1:23" s="354" customFormat="1" ht="23.1" customHeight="1">
      <c r="A226" s="409"/>
      <c r="B226" s="409"/>
      <c r="C226" s="410"/>
      <c r="D226" s="410"/>
      <c r="E226" s="410"/>
      <c r="F226" s="410"/>
      <c r="G226" s="410"/>
      <c r="H226" s="410"/>
      <c r="I226" s="410"/>
      <c r="J226" s="410"/>
      <c r="K226" s="410"/>
      <c r="L226" s="410"/>
      <c r="M226" s="410"/>
      <c r="N226" s="410"/>
      <c r="O226" s="410"/>
      <c r="P226" s="410"/>
      <c r="Q226" s="410"/>
      <c r="R226" s="410"/>
      <c r="S226" s="410"/>
      <c r="T226" s="410"/>
      <c r="U226" s="410"/>
      <c r="V226" s="410"/>
      <c r="W226" s="353"/>
    </row>
    <row r="227" spans="1:23" s="354" customFormat="1" ht="23.1" customHeight="1">
      <c r="A227" s="409"/>
      <c r="B227" s="409"/>
      <c r="C227" s="410"/>
      <c r="D227" s="410"/>
      <c r="E227" s="410"/>
      <c r="F227" s="410"/>
      <c r="G227" s="410"/>
      <c r="H227" s="410"/>
      <c r="I227" s="410"/>
      <c r="J227" s="410"/>
      <c r="K227" s="410"/>
      <c r="L227" s="410"/>
      <c r="M227" s="410"/>
      <c r="N227" s="410"/>
      <c r="O227" s="410"/>
      <c r="P227" s="410"/>
      <c r="Q227" s="410"/>
      <c r="R227" s="410"/>
      <c r="S227" s="410"/>
      <c r="T227" s="410"/>
      <c r="U227" s="410"/>
      <c r="V227" s="410"/>
      <c r="W227" s="353"/>
    </row>
    <row r="228" spans="1:23" s="354" customFormat="1" ht="23.1" customHeight="1">
      <c r="A228" s="409"/>
      <c r="B228" s="409"/>
      <c r="C228" s="410"/>
      <c r="D228" s="410"/>
      <c r="E228" s="410"/>
      <c r="F228" s="410"/>
      <c r="G228" s="410"/>
      <c r="H228" s="410"/>
      <c r="I228" s="410"/>
      <c r="J228" s="410"/>
      <c r="K228" s="410"/>
      <c r="L228" s="410"/>
      <c r="M228" s="410"/>
      <c r="N228" s="410"/>
      <c r="O228" s="410"/>
      <c r="P228" s="410"/>
      <c r="Q228" s="410"/>
      <c r="R228" s="410"/>
      <c r="S228" s="410"/>
      <c r="T228" s="410"/>
      <c r="U228" s="410"/>
      <c r="V228" s="410"/>
      <c r="W228" s="353"/>
    </row>
    <row r="229" spans="1:23" s="354" customFormat="1" ht="23.1" customHeight="1">
      <c r="A229" s="409"/>
      <c r="B229" s="409"/>
      <c r="C229" s="410"/>
      <c r="D229" s="410"/>
      <c r="E229" s="410"/>
      <c r="F229" s="410"/>
      <c r="G229" s="410"/>
      <c r="H229" s="410"/>
      <c r="I229" s="410"/>
      <c r="J229" s="410"/>
      <c r="K229" s="410"/>
      <c r="L229" s="410"/>
      <c r="M229" s="410"/>
      <c r="N229" s="410"/>
      <c r="O229" s="410"/>
      <c r="P229" s="410"/>
      <c r="Q229" s="410"/>
      <c r="R229" s="410"/>
      <c r="S229" s="410"/>
      <c r="T229" s="410"/>
      <c r="U229" s="410"/>
      <c r="V229" s="410"/>
      <c r="W229" s="353"/>
    </row>
    <row r="230" spans="1:23" s="354" customFormat="1" ht="23.1" customHeight="1">
      <c r="A230" s="409"/>
      <c r="B230" s="409"/>
      <c r="C230" s="410"/>
      <c r="D230" s="410"/>
      <c r="E230" s="410"/>
      <c r="F230" s="410"/>
      <c r="G230" s="410"/>
      <c r="H230" s="410"/>
      <c r="I230" s="410"/>
      <c r="J230" s="410"/>
      <c r="K230" s="410"/>
      <c r="L230" s="410"/>
      <c r="M230" s="410"/>
      <c r="N230" s="410"/>
      <c r="O230" s="410"/>
      <c r="P230" s="410"/>
      <c r="Q230" s="410"/>
      <c r="R230" s="410"/>
      <c r="S230" s="410"/>
      <c r="T230" s="410"/>
      <c r="U230" s="410"/>
      <c r="V230" s="410"/>
      <c r="W230" s="353"/>
    </row>
    <row r="231" spans="1:23" s="354" customFormat="1" ht="23.1" customHeight="1">
      <c r="A231" s="409"/>
      <c r="B231" s="409"/>
      <c r="C231" s="410"/>
      <c r="D231" s="410"/>
      <c r="E231" s="410"/>
      <c r="F231" s="410"/>
      <c r="G231" s="410"/>
      <c r="H231" s="410"/>
      <c r="I231" s="410"/>
      <c r="J231" s="410"/>
      <c r="K231" s="410"/>
      <c r="L231" s="410"/>
      <c r="M231" s="410"/>
      <c r="N231" s="410"/>
      <c r="O231" s="410"/>
      <c r="P231" s="410"/>
      <c r="Q231" s="410"/>
      <c r="R231" s="410"/>
      <c r="S231" s="410"/>
      <c r="T231" s="410"/>
      <c r="U231" s="410"/>
      <c r="V231" s="410"/>
      <c r="W231" s="353"/>
    </row>
    <row r="232" spans="1:23" s="354" customFormat="1" ht="23.1" customHeight="1">
      <c r="A232" s="409"/>
      <c r="B232" s="409"/>
      <c r="C232" s="410"/>
      <c r="D232" s="410"/>
      <c r="E232" s="410"/>
      <c r="F232" s="410"/>
      <c r="G232" s="410"/>
      <c r="H232" s="410"/>
      <c r="I232" s="410"/>
      <c r="J232" s="410"/>
      <c r="K232" s="410"/>
      <c r="L232" s="410"/>
      <c r="M232" s="410"/>
      <c r="N232" s="410"/>
      <c r="O232" s="410"/>
      <c r="P232" s="410"/>
      <c r="Q232" s="410"/>
      <c r="R232" s="410"/>
      <c r="S232" s="410"/>
      <c r="T232" s="410"/>
      <c r="U232" s="410"/>
      <c r="V232" s="410"/>
      <c r="W232" s="353"/>
    </row>
    <row r="233" spans="1:23" s="352" customFormat="1" ht="20.100000000000001" customHeight="1">
      <c r="A233" s="409"/>
      <c r="B233" s="409"/>
      <c r="C233" s="410"/>
      <c r="D233" s="410"/>
      <c r="E233" s="410"/>
      <c r="F233" s="410"/>
      <c r="G233" s="410"/>
      <c r="H233" s="410"/>
      <c r="I233" s="410"/>
      <c r="J233" s="410"/>
      <c r="K233" s="410"/>
      <c r="L233" s="410"/>
      <c r="M233" s="410"/>
      <c r="N233" s="410"/>
      <c r="O233" s="410"/>
      <c r="P233" s="410"/>
      <c r="Q233" s="410"/>
      <c r="R233" s="410"/>
      <c r="S233" s="410"/>
      <c r="T233" s="410"/>
      <c r="U233" s="410"/>
      <c r="V233" s="410"/>
    </row>
    <row r="234" spans="1:23" s="352" customFormat="1" ht="9.9499999999999993" customHeight="1">
      <c r="A234" s="409"/>
      <c r="B234" s="409"/>
      <c r="C234" s="410"/>
      <c r="D234" s="410"/>
      <c r="E234" s="410"/>
      <c r="F234" s="410"/>
      <c r="G234" s="410"/>
      <c r="H234" s="410"/>
      <c r="I234" s="410"/>
      <c r="J234" s="410"/>
      <c r="K234" s="410"/>
      <c r="L234" s="410"/>
      <c r="M234" s="410"/>
      <c r="N234" s="410"/>
      <c r="O234" s="410"/>
      <c r="P234" s="410"/>
      <c r="Q234" s="410"/>
      <c r="R234" s="410"/>
      <c r="S234" s="410"/>
      <c r="T234" s="410"/>
      <c r="U234" s="410"/>
      <c r="V234" s="410"/>
    </row>
    <row r="235" spans="1:23" s="354" customFormat="1" ht="27.95" customHeight="1">
      <c r="A235" s="409"/>
      <c r="B235" s="409"/>
      <c r="C235" s="410"/>
      <c r="D235" s="410"/>
      <c r="E235" s="410"/>
      <c r="F235" s="410"/>
      <c r="G235" s="410"/>
      <c r="H235" s="410"/>
      <c r="I235" s="410"/>
      <c r="J235" s="410"/>
      <c r="K235" s="410"/>
      <c r="L235" s="410"/>
      <c r="M235" s="410"/>
      <c r="N235" s="410"/>
      <c r="O235" s="410"/>
      <c r="P235" s="410"/>
      <c r="Q235" s="410"/>
      <c r="R235" s="410"/>
      <c r="S235" s="410"/>
      <c r="T235" s="410"/>
      <c r="U235" s="410"/>
      <c r="V235" s="410"/>
      <c r="W235" s="353"/>
    </row>
    <row r="236" spans="1:23" s="354" customFormat="1" ht="27.95" customHeight="1">
      <c r="A236" s="409"/>
      <c r="B236" s="409"/>
      <c r="C236" s="410"/>
      <c r="D236" s="410"/>
      <c r="E236" s="410"/>
      <c r="F236" s="410"/>
      <c r="G236" s="410"/>
      <c r="H236" s="410"/>
      <c r="I236" s="410"/>
      <c r="J236" s="410"/>
      <c r="K236" s="410"/>
      <c r="L236" s="410"/>
      <c r="M236" s="410"/>
      <c r="N236" s="410"/>
      <c r="O236" s="410"/>
      <c r="P236" s="410"/>
      <c r="Q236" s="410"/>
      <c r="R236" s="410"/>
      <c r="S236" s="410"/>
      <c r="T236" s="410"/>
      <c r="U236" s="410"/>
      <c r="V236" s="410"/>
      <c r="W236" s="353"/>
    </row>
    <row r="237" spans="1:23" s="354" customFormat="1" ht="23.1" customHeight="1">
      <c r="A237" s="409"/>
      <c r="B237" s="409"/>
      <c r="C237" s="410"/>
      <c r="D237" s="410"/>
      <c r="E237" s="410"/>
      <c r="F237" s="410"/>
      <c r="G237" s="410"/>
      <c r="H237" s="410"/>
      <c r="I237" s="410"/>
      <c r="J237" s="410"/>
      <c r="K237" s="410"/>
      <c r="L237" s="410"/>
      <c r="M237" s="410"/>
      <c r="N237" s="410"/>
      <c r="O237" s="410"/>
      <c r="P237" s="410"/>
      <c r="Q237" s="410"/>
      <c r="R237" s="410"/>
      <c r="S237" s="410"/>
      <c r="T237" s="410"/>
      <c r="U237" s="410"/>
      <c r="V237" s="410"/>
      <c r="W237" s="353"/>
    </row>
    <row r="238" spans="1:23" s="354" customFormat="1" ht="23.1" customHeight="1">
      <c r="A238" s="409"/>
      <c r="B238" s="409"/>
      <c r="C238" s="410"/>
      <c r="D238" s="410"/>
      <c r="E238" s="410"/>
      <c r="F238" s="410"/>
      <c r="G238" s="410"/>
      <c r="H238" s="410"/>
      <c r="I238" s="410"/>
      <c r="J238" s="410"/>
      <c r="K238" s="410"/>
      <c r="L238" s="410"/>
      <c r="M238" s="410"/>
      <c r="N238" s="410"/>
      <c r="O238" s="410"/>
      <c r="P238" s="410"/>
      <c r="Q238" s="410"/>
      <c r="R238" s="410"/>
      <c r="S238" s="410"/>
      <c r="T238" s="410"/>
      <c r="U238" s="410"/>
      <c r="V238" s="410"/>
      <c r="W238" s="353"/>
    </row>
    <row r="239" spans="1:23" s="354" customFormat="1" ht="23.1" customHeight="1">
      <c r="A239" s="409"/>
      <c r="B239" s="409"/>
      <c r="C239" s="410"/>
      <c r="D239" s="410"/>
      <c r="E239" s="410"/>
      <c r="F239" s="410"/>
      <c r="G239" s="410"/>
      <c r="H239" s="410"/>
      <c r="I239" s="410"/>
      <c r="J239" s="410"/>
      <c r="K239" s="410"/>
      <c r="L239" s="410"/>
      <c r="M239" s="410"/>
      <c r="N239" s="410"/>
      <c r="O239" s="410"/>
      <c r="P239" s="410"/>
      <c r="Q239" s="410"/>
      <c r="R239" s="410"/>
      <c r="S239" s="410"/>
      <c r="T239" s="410"/>
      <c r="U239" s="410"/>
      <c r="V239" s="410"/>
      <c r="W239" s="353"/>
    </row>
    <row r="240" spans="1:23" s="354" customFormat="1" ht="23.1" customHeight="1">
      <c r="A240" s="409"/>
      <c r="B240" s="409"/>
      <c r="C240" s="410"/>
      <c r="D240" s="410"/>
      <c r="E240" s="410"/>
      <c r="F240" s="410"/>
      <c r="G240" s="410"/>
      <c r="H240" s="410"/>
      <c r="I240" s="410"/>
      <c r="J240" s="410"/>
      <c r="K240" s="410"/>
      <c r="L240" s="410"/>
      <c r="M240" s="410"/>
      <c r="N240" s="410"/>
      <c r="O240" s="410"/>
      <c r="P240" s="410"/>
      <c r="Q240" s="410"/>
      <c r="R240" s="410"/>
      <c r="S240" s="410"/>
      <c r="T240" s="410"/>
      <c r="U240" s="410"/>
      <c r="V240" s="410"/>
      <c r="W240" s="353"/>
    </row>
    <row r="241" spans="1:23" s="354" customFormat="1" ht="23.1" customHeight="1">
      <c r="A241" s="409"/>
      <c r="B241" s="409"/>
      <c r="C241" s="410"/>
      <c r="D241" s="410"/>
      <c r="E241" s="410"/>
      <c r="F241" s="410"/>
      <c r="G241" s="410"/>
      <c r="H241" s="410"/>
      <c r="I241" s="410"/>
      <c r="J241" s="410"/>
      <c r="K241" s="410"/>
      <c r="L241" s="410"/>
      <c r="M241" s="410"/>
      <c r="N241" s="410"/>
      <c r="O241" s="410"/>
      <c r="P241" s="410"/>
      <c r="Q241" s="410"/>
      <c r="R241" s="410"/>
      <c r="S241" s="410"/>
      <c r="T241" s="410"/>
      <c r="U241" s="410"/>
      <c r="V241" s="410"/>
      <c r="W241" s="353"/>
    </row>
    <row r="242" spans="1:23" s="354" customFormat="1" ht="23.1" customHeight="1">
      <c r="A242" s="409"/>
      <c r="B242" s="409"/>
      <c r="C242" s="410"/>
      <c r="D242" s="410"/>
      <c r="E242" s="410"/>
      <c r="F242" s="410"/>
      <c r="G242" s="410"/>
      <c r="H242" s="410"/>
      <c r="I242" s="410"/>
      <c r="J242" s="410"/>
      <c r="K242" s="410"/>
      <c r="L242" s="410"/>
      <c r="M242" s="410"/>
      <c r="N242" s="410"/>
      <c r="O242" s="410"/>
      <c r="P242" s="410"/>
      <c r="Q242" s="410"/>
      <c r="R242" s="410"/>
      <c r="S242" s="410"/>
      <c r="T242" s="410"/>
      <c r="U242" s="410"/>
      <c r="V242" s="410"/>
      <c r="W242" s="353"/>
    </row>
    <row r="243" spans="1:23" s="354" customFormat="1" ht="23.1" customHeight="1">
      <c r="A243" s="409"/>
      <c r="B243" s="409"/>
      <c r="C243" s="410"/>
      <c r="D243" s="410"/>
      <c r="E243" s="410"/>
      <c r="F243" s="410"/>
      <c r="G243" s="410"/>
      <c r="H243" s="410"/>
      <c r="I243" s="410"/>
      <c r="J243" s="410"/>
      <c r="K243" s="410"/>
      <c r="L243" s="410"/>
      <c r="M243" s="410"/>
      <c r="N243" s="410"/>
      <c r="O243" s="410"/>
      <c r="P243" s="410"/>
      <c r="Q243" s="410"/>
      <c r="R243" s="410"/>
      <c r="S243" s="410"/>
      <c r="T243" s="410"/>
      <c r="U243" s="410"/>
      <c r="V243" s="410"/>
      <c r="W243" s="353"/>
    </row>
    <row r="244" spans="1:23" s="354" customFormat="1" ht="23.1" customHeight="1">
      <c r="A244" s="409"/>
      <c r="B244" s="409"/>
      <c r="C244" s="410"/>
      <c r="D244" s="410"/>
      <c r="E244" s="410"/>
      <c r="F244" s="410"/>
      <c r="G244" s="410"/>
      <c r="H244" s="410"/>
      <c r="I244" s="410"/>
      <c r="J244" s="410"/>
      <c r="K244" s="410"/>
      <c r="L244" s="410"/>
      <c r="M244" s="410"/>
      <c r="N244" s="410"/>
      <c r="O244" s="410"/>
      <c r="P244" s="410"/>
      <c r="Q244" s="410"/>
      <c r="R244" s="410"/>
      <c r="S244" s="410"/>
      <c r="T244" s="410"/>
      <c r="U244" s="410"/>
      <c r="V244" s="410"/>
      <c r="W244" s="353"/>
    </row>
    <row r="245" spans="1:23" s="354" customFormat="1" ht="23.1" customHeight="1">
      <c r="A245" s="409"/>
      <c r="B245" s="409"/>
      <c r="C245" s="410"/>
      <c r="D245" s="410"/>
      <c r="E245" s="410"/>
      <c r="F245" s="410"/>
      <c r="G245" s="410"/>
      <c r="H245" s="410"/>
      <c r="I245" s="410"/>
      <c r="J245" s="410"/>
      <c r="K245" s="410"/>
      <c r="L245" s="410"/>
      <c r="M245" s="410"/>
      <c r="N245" s="410"/>
      <c r="O245" s="410"/>
      <c r="P245" s="410"/>
      <c r="Q245" s="410"/>
      <c r="R245" s="410"/>
      <c r="S245" s="410"/>
      <c r="T245" s="410"/>
      <c r="U245" s="410"/>
      <c r="V245" s="410"/>
      <c r="W245" s="353"/>
    </row>
    <row r="246" spans="1:23" s="354" customFormat="1" ht="23.1" customHeight="1">
      <c r="A246" s="409"/>
      <c r="B246" s="409"/>
      <c r="C246" s="410"/>
      <c r="D246" s="410"/>
      <c r="E246" s="410"/>
      <c r="F246" s="410"/>
      <c r="G246" s="410"/>
      <c r="H246" s="410"/>
      <c r="I246" s="410"/>
      <c r="J246" s="410"/>
      <c r="K246" s="410"/>
      <c r="L246" s="410"/>
      <c r="M246" s="410"/>
      <c r="N246" s="410"/>
      <c r="O246" s="410"/>
      <c r="P246" s="410"/>
      <c r="Q246" s="410"/>
      <c r="R246" s="410"/>
      <c r="S246" s="410"/>
      <c r="T246" s="410"/>
      <c r="U246" s="410"/>
      <c r="V246" s="410"/>
      <c r="W246" s="353"/>
    </row>
    <row r="247" spans="1:23" s="354" customFormat="1" ht="23.1" customHeight="1">
      <c r="A247" s="409"/>
      <c r="B247" s="409"/>
      <c r="C247" s="410"/>
      <c r="D247" s="410"/>
      <c r="E247" s="410"/>
      <c r="F247" s="410"/>
      <c r="G247" s="410"/>
      <c r="H247" s="410"/>
      <c r="I247" s="410"/>
      <c r="J247" s="410"/>
      <c r="K247" s="410"/>
      <c r="L247" s="410"/>
      <c r="M247" s="410"/>
      <c r="N247" s="410"/>
      <c r="O247" s="410"/>
      <c r="P247" s="410"/>
      <c r="Q247" s="410"/>
      <c r="R247" s="410"/>
      <c r="S247" s="410"/>
      <c r="T247" s="410"/>
      <c r="U247" s="410"/>
      <c r="V247" s="410"/>
      <c r="W247" s="353"/>
    </row>
    <row r="248" spans="1:23" s="354" customFormat="1" ht="23.1" customHeight="1">
      <c r="A248" s="409"/>
      <c r="B248" s="409"/>
      <c r="C248" s="410"/>
      <c r="D248" s="410"/>
      <c r="E248" s="410"/>
      <c r="F248" s="410"/>
      <c r="G248" s="410"/>
      <c r="H248" s="410"/>
      <c r="I248" s="410"/>
      <c r="J248" s="410"/>
      <c r="K248" s="410"/>
      <c r="L248" s="410"/>
      <c r="M248" s="410"/>
      <c r="N248" s="410"/>
      <c r="O248" s="410"/>
      <c r="P248" s="410"/>
      <c r="Q248" s="410"/>
      <c r="R248" s="410"/>
      <c r="S248" s="410"/>
      <c r="T248" s="410"/>
      <c r="U248" s="410"/>
      <c r="V248" s="410"/>
      <c r="W248" s="353"/>
    </row>
    <row r="249" spans="1:23" s="354" customFormat="1" ht="23.1" customHeight="1">
      <c r="A249" s="409"/>
      <c r="B249" s="409"/>
      <c r="C249" s="410"/>
      <c r="D249" s="410"/>
      <c r="E249" s="410"/>
      <c r="F249" s="410"/>
      <c r="G249" s="410"/>
      <c r="H249" s="410"/>
      <c r="I249" s="410"/>
      <c r="J249" s="410"/>
      <c r="K249" s="410"/>
      <c r="L249" s="410"/>
      <c r="M249" s="410"/>
      <c r="N249" s="410"/>
      <c r="O249" s="410"/>
      <c r="P249" s="410"/>
      <c r="Q249" s="410"/>
      <c r="R249" s="410"/>
      <c r="S249" s="410"/>
      <c r="T249" s="410"/>
      <c r="U249" s="410"/>
      <c r="V249" s="410"/>
      <c r="W249" s="353"/>
    </row>
    <row r="250" spans="1:23" s="354" customFormat="1" ht="23.1" customHeight="1">
      <c r="A250" s="409"/>
      <c r="B250" s="409"/>
      <c r="C250" s="410"/>
      <c r="D250" s="410"/>
      <c r="E250" s="410"/>
      <c r="F250" s="410"/>
      <c r="G250" s="410"/>
      <c r="H250" s="410"/>
      <c r="I250" s="410"/>
      <c r="J250" s="410"/>
      <c r="K250" s="410"/>
      <c r="L250" s="410"/>
      <c r="M250" s="410"/>
      <c r="N250" s="410"/>
      <c r="O250" s="410"/>
      <c r="P250" s="410"/>
      <c r="Q250" s="410"/>
      <c r="R250" s="410"/>
      <c r="S250" s="410"/>
      <c r="T250" s="410"/>
      <c r="U250" s="410"/>
      <c r="V250" s="410"/>
      <c r="W250" s="353"/>
    </row>
    <row r="251" spans="1:23" s="354" customFormat="1" ht="23.1" customHeight="1">
      <c r="A251" s="409"/>
      <c r="B251" s="409"/>
      <c r="C251" s="410"/>
      <c r="D251" s="410"/>
      <c r="E251" s="410"/>
      <c r="F251" s="410"/>
      <c r="G251" s="410"/>
      <c r="H251" s="410"/>
      <c r="I251" s="410"/>
      <c r="J251" s="410"/>
      <c r="K251" s="410"/>
      <c r="L251" s="410"/>
      <c r="M251" s="410"/>
      <c r="N251" s="410"/>
      <c r="O251" s="410"/>
      <c r="P251" s="410"/>
      <c r="Q251" s="410"/>
      <c r="R251" s="410"/>
      <c r="S251" s="410"/>
      <c r="T251" s="410"/>
      <c r="U251" s="410"/>
      <c r="V251" s="410"/>
      <c r="W251" s="353"/>
    </row>
    <row r="252" spans="1:23" s="354" customFormat="1" ht="23.1" customHeight="1">
      <c r="A252" s="409"/>
      <c r="B252" s="409"/>
      <c r="C252" s="410"/>
      <c r="D252" s="410"/>
      <c r="E252" s="410"/>
      <c r="F252" s="410"/>
      <c r="G252" s="410"/>
      <c r="H252" s="410"/>
      <c r="I252" s="410"/>
      <c r="J252" s="410"/>
      <c r="K252" s="410"/>
      <c r="L252" s="410"/>
      <c r="M252" s="410"/>
      <c r="N252" s="410"/>
      <c r="O252" s="410"/>
      <c r="P252" s="410"/>
      <c r="Q252" s="410"/>
      <c r="R252" s="410"/>
      <c r="S252" s="410"/>
      <c r="T252" s="410"/>
      <c r="U252" s="410"/>
      <c r="V252" s="410"/>
      <c r="W252" s="353"/>
    </row>
    <row r="253" spans="1:23" s="354" customFormat="1" ht="23.1" customHeight="1">
      <c r="A253" s="409"/>
      <c r="B253" s="409"/>
      <c r="C253" s="410"/>
      <c r="D253" s="410"/>
      <c r="E253" s="410"/>
      <c r="F253" s="410"/>
      <c r="G253" s="410"/>
      <c r="H253" s="410"/>
      <c r="I253" s="410"/>
      <c r="J253" s="410"/>
      <c r="K253" s="410"/>
      <c r="L253" s="410"/>
      <c r="M253" s="410"/>
      <c r="N253" s="410"/>
      <c r="O253" s="410"/>
      <c r="P253" s="410"/>
      <c r="Q253" s="410"/>
      <c r="R253" s="410"/>
      <c r="S253" s="410"/>
      <c r="T253" s="410"/>
      <c r="U253" s="410"/>
      <c r="V253" s="410"/>
      <c r="W253" s="353"/>
    </row>
    <row r="254" spans="1:23" s="354" customFormat="1" ht="23.1" customHeight="1">
      <c r="A254" s="409"/>
      <c r="B254" s="409"/>
      <c r="C254" s="410"/>
      <c r="D254" s="410"/>
      <c r="E254" s="410"/>
      <c r="F254" s="410"/>
      <c r="G254" s="410"/>
      <c r="H254" s="410"/>
      <c r="I254" s="410"/>
      <c r="J254" s="410"/>
      <c r="K254" s="410"/>
      <c r="L254" s="410"/>
      <c r="M254" s="410"/>
      <c r="N254" s="410"/>
      <c r="O254" s="410"/>
      <c r="P254" s="410"/>
      <c r="Q254" s="410"/>
      <c r="R254" s="410"/>
      <c r="S254" s="410"/>
      <c r="T254" s="410"/>
      <c r="U254" s="410"/>
      <c r="V254" s="410"/>
      <c r="W254" s="353"/>
    </row>
    <row r="255" spans="1:23" s="354" customFormat="1" ht="23.1" customHeight="1">
      <c r="A255" s="409"/>
      <c r="B255" s="409"/>
      <c r="C255" s="410"/>
      <c r="D255" s="410"/>
      <c r="E255" s="410"/>
      <c r="F255" s="410"/>
      <c r="G255" s="410"/>
      <c r="H255" s="410"/>
      <c r="I255" s="410"/>
      <c r="J255" s="410"/>
      <c r="K255" s="410"/>
      <c r="L255" s="410"/>
      <c r="M255" s="410"/>
      <c r="N255" s="410"/>
      <c r="O255" s="410"/>
      <c r="P255" s="410"/>
      <c r="Q255" s="410"/>
      <c r="R255" s="410"/>
      <c r="S255" s="410"/>
      <c r="T255" s="410"/>
      <c r="U255" s="410"/>
      <c r="V255" s="410"/>
      <c r="W255" s="353"/>
    </row>
    <row r="256" spans="1:23" s="354" customFormat="1" ht="23.1" customHeight="1">
      <c r="A256" s="409"/>
      <c r="B256" s="409"/>
      <c r="C256" s="410"/>
      <c r="D256" s="410"/>
      <c r="E256" s="410"/>
      <c r="F256" s="410"/>
      <c r="G256" s="410"/>
      <c r="H256" s="410"/>
      <c r="I256" s="410"/>
      <c r="J256" s="410"/>
      <c r="K256" s="410"/>
      <c r="L256" s="410"/>
      <c r="M256" s="410"/>
      <c r="N256" s="410"/>
      <c r="O256" s="410"/>
      <c r="P256" s="410"/>
      <c r="Q256" s="410"/>
      <c r="R256" s="410"/>
      <c r="S256" s="410"/>
      <c r="T256" s="410"/>
      <c r="U256" s="410"/>
      <c r="V256" s="410"/>
      <c r="W256" s="353"/>
    </row>
    <row r="257" spans="1:23" s="354" customFormat="1" ht="23.1" customHeight="1">
      <c r="A257" s="409"/>
      <c r="B257" s="409"/>
      <c r="C257" s="410"/>
      <c r="D257" s="410"/>
      <c r="E257" s="410"/>
      <c r="F257" s="410"/>
      <c r="G257" s="410"/>
      <c r="H257" s="410"/>
      <c r="I257" s="410"/>
      <c r="J257" s="410"/>
      <c r="K257" s="410"/>
      <c r="L257" s="410"/>
      <c r="M257" s="410"/>
      <c r="N257" s="410"/>
      <c r="O257" s="410"/>
      <c r="P257" s="410"/>
      <c r="Q257" s="410"/>
      <c r="R257" s="410"/>
      <c r="S257" s="410"/>
      <c r="T257" s="410"/>
      <c r="U257" s="410"/>
      <c r="V257" s="410"/>
      <c r="W257" s="353"/>
    </row>
    <row r="258" spans="1:23" s="354" customFormat="1" ht="23.1" customHeight="1">
      <c r="A258" s="409"/>
      <c r="B258" s="409"/>
      <c r="C258" s="410"/>
      <c r="D258" s="410"/>
      <c r="E258" s="410"/>
      <c r="F258" s="410"/>
      <c r="G258" s="410"/>
      <c r="H258" s="410"/>
      <c r="I258" s="410"/>
      <c r="J258" s="410"/>
      <c r="K258" s="410"/>
      <c r="L258" s="410"/>
      <c r="M258" s="410"/>
      <c r="N258" s="410"/>
      <c r="O258" s="410"/>
      <c r="P258" s="410"/>
      <c r="Q258" s="410"/>
      <c r="R258" s="410"/>
      <c r="S258" s="410"/>
      <c r="T258" s="410"/>
      <c r="U258" s="410"/>
      <c r="V258" s="410"/>
      <c r="W258" s="353"/>
    </row>
    <row r="259" spans="1:23" s="354" customFormat="1" ht="23.1" customHeight="1">
      <c r="A259" s="409"/>
      <c r="B259" s="409"/>
      <c r="C259" s="410"/>
      <c r="D259" s="410"/>
      <c r="E259" s="410"/>
      <c r="F259" s="410"/>
      <c r="G259" s="410"/>
      <c r="H259" s="410"/>
      <c r="I259" s="410"/>
      <c r="J259" s="410"/>
      <c r="K259" s="410"/>
      <c r="L259" s="410"/>
      <c r="M259" s="410"/>
      <c r="N259" s="410"/>
      <c r="O259" s="410"/>
      <c r="P259" s="410"/>
      <c r="Q259" s="410"/>
      <c r="R259" s="410"/>
      <c r="S259" s="410"/>
      <c r="T259" s="410"/>
      <c r="U259" s="410"/>
      <c r="V259" s="410"/>
      <c r="W259" s="353"/>
    </row>
    <row r="260" spans="1:23" s="354" customFormat="1" ht="23.1" customHeight="1">
      <c r="A260" s="409"/>
      <c r="B260" s="409"/>
      <c r="C260" s="410"/>
      <c r="D260" s="410"/>
      <c r="E260" s="410"/>
      <c r="F260" s="410"/>
      <c r="G260" s="410"/>
      <c r="H260" s="410"/>
      <c r="I260" s="410"/>
      <c r="J260" s="410"/>
      <c r="K260" s="410"/>
      <c r="L260" s="410"/>
      <c r="M260" s="410"/>
      <c r="N260" s="410"/>
      <c r="O260" s="410"/>
      <c r="P260" s="410"/>
      <c r="Q260" s="410"/>
      <c r="R260" s="410"/>
      <c r="S260" s="410"/>
      <c r="T260" s="410"/>
      <c r="U260" s="410"/>
      <c r="V260" s="410"/>
      <c r="W260" s="353"/>
    </row>
    <row r="261" spans="1:23" s="354" customFormat="1" ht="23.1" customHeight="1">
      <c r="A261" s="409"/>
      <c r="B261" s="409"/>
      <c r="C261" s="410"/>
      <c r="D261" s="410"/>
      <c r="E261" s="410"/>
      <c r="F261" s="410"/>
      <c r="G261" s="410"/>
      <c r="H261" s="410"/>
      <c r="I261" s="410"/>
      <c r="J261" s="410"/>
      <c r="K261" s="410"/>
      <c r="L261" s="410"/>
      <c r="M261" s="410"/>
      <c r="N261" s="410"/>
      <c r="O261" s="410"/>
      <c r="P261" s="410"/>
      <c r="Q261" s="410"/>
      <c r="R261" s="410"/>
      <c r="S261" s="410"/>
      <c r="T261" s="410"/>
      <c r="U261" s="410"/>
      <c r="V261" s="410"/>
      <c r="W261" s="353"/>
    </row>
    <row r="262" spans="1:23" s="354" customFormat="1" ht="23.1" customHeight="1">
      <c r="A262" s="409"/>
      <c r="B262" s="409"/>
      <c r="C262" s="410"/>
      <c r="D262" s="410"/>
      <c r="E262" s="410"/>
      <c r="F262" s="410"/>
      <c r="G262" s="410"/>
      <c r="H262" s="410"/>
      <c r="I262" s="410"/>
      <c r="J262" s="410"/>
      <c r="K262" s="410"/>
      <c r="L262" s="410"/>
      <c r="M262" s="410"/>
      <c r="N262" s="410"/>
      <c r="O262" s="410"/>
      <c r="P262" s="410"/>
      <c r="Q262" s="410"/>
      <c r="R262" s="410"/>
      <c r="S262" s="410"/>
      <c r="T262" s="410"/>
      <c r="U262" s="410"/>
      <c r="V262" s="410"/>
      <c r="W262" s="353"/>
    </row>
    <row r="263" spans="1:23" s="352" customFormat="1" ht="20.100000000000001" customHeight="1">
      <c r="A263" s="409"/>
      <c r="B263" s="409"/>
      <c r="C263" s="410"/>
      <c r="D263" s="410"/>
      <c r="E263" s="410"/>
      <c r="F263" s="410"/>
      <c r="G263" s="410"/>
      <c r="H263" s="410"/>
      <c r="I263" s="410"/>
      <c r="J263" s="410"/>
      <c r="K263" s="410"/>
      <c r="L263" s="410"/>
      <c r="M263" s="410"/>
      <c r="N263" s="410"/>
      <c r="O263" s="410"/>
      <c r="P263" s="410"/>
      <c r="Q263" s="410"/>
      <c r="R263" s="410"/>
      <c r="S263" s="410"/>
      <c r="T263" s="410"/>
      <c r="U263" s="410"/>
      <c r="V263" s="410"/>
    </row>
    <row r="264" spans="1:23" s="352" customFormat="1" ht="9.9499999999999993" customHeight="1">
      <c r="A264" s="409"/>
      <c r="B264" s="409"/>
      <c r="C264" s="410"/>
      <c r="D264" s="410"/>
      <c r="E264" s="410"/>
      <c r="F264" s="410"/>
      <c r="G264" s="410"/>
      <c r="H264" s="410"/>
      <c r="I264" s="410"/>
      <c r="J264" s="410"/>
      <c r="K264" s="410"/>
      <c r="L264" s="410"/>
      <c r="M264" s="410"/>
      <c r="N264" s="410"/>
      <c r="O264" s="410"/>
      <c r="P264" s="410"/>
      <c r="Q264" s="410"/>
      <c r="R264" s="410"/>
      <c r="S264" s="410"/>
      <c r="T264" s="410"/>
      <c r="U264" s="410"/>
      <c r="V264" s="410"/>
    </row>
    <row r="265" spans="1:23" s="354" customFormat="1" ht="27.95" customHeight="1">
      <c r="A265" s="409"/>
      <c r="B265" s="409"/>
      <c r="C265" s="410"/>
      <c r="D265" s="410"/>
      <c r="E265" s="410"/>
      <c r="F265" s="410"/>
      <c r="G265" s="410"/>
      <c r="H265" s="410"/>
      <c r="I265" s="410"/>
      <c r="J265" s="410"/>
      <c r="K265" s="410"/>
      <c r="L265" s="410"/>
      <c r="M265" s="410"/>
      <c r="N265" s="410"/>
      <c r="O265" s="410"/>
      <c r="P265" s="410"/>
      <c r="Q265" s="410"/>
      <c r="R265" s="410"/>
      <c r="S265" s="410"/>
      <c r="T265" s="410"/>
      <c r="U265" s="410"/>
      <c r="V265" s="410"/>
      <c r="W265" s="353"/>
    </row>
    <row r="266" spans="1:23" s="354" customFormat="1" ht="27.95" customHeight="1">
      <c r="A266" s="409"/>
      <c r="B266" s="409"/>
      <c r="C266" s="410"/>
      <c r="D266" s="410"/>
      <c r="E266" s="410"/>
      <c r="F266" s="410"/>
      <c r="G266" s="410"/>
      <c r="H266" s="410"/>
      <c r="I266" s="410"/>
      <c r="J266" s="410"/>
      <c r="K266" s="410"/>
      <c r="L266" s="410"/>
      <c r="M266" s="410"/>
      <c r="N266" s="410"/>
      <c r="O266" s="410"/>
      <c r="P266" s="410"/>
      <c r="Q266" s="410"/>
      <c r="R266" s="410"/>
      <c r="S266" s="410"/>
      <c r="T266" s="410"/>
      <c r="U266" s="410"/>
      <c r="V266" s="410"/>
      <c r="W266" s="353"/>
    </row>
    <row r="267" spans="1:23" s="354" customFormat="1" ht="23.1" customHeight="1">
      <c r="A267" s="409"/>
      <c r="B267" s="409"/>
      <c r="C267" s="410"/>
      <c r="D267" s="410"/>
      <c r="E267" s="410"/>
      <c r="F267" s="410"/>
      <c r="G267" s="410"/>
      <c r="H267" s="410"/>
      <c r="I267" s="410"/>
      <c r="J267" s="410"/>
      <c r="K267" s="410"/>
      <c r="L267" s="410"/>
      <c r="M267" s="410"/>
      <c r="N267" s="410"/>
      <c r="O267" s="410"/>
      <c r="P267" s="410"/>
      <c r="Q267" s="410"/>
      <c r="R267" s="410"/>
      <c r="S267" s="410"/>
      <c r="T267" s="410"/>
      <c r="U267" s="410"/>
      <c r="V267" s="410"/>
      <c r="W267" s="353"/>
    </row>
    <row r="268" spans="1:23" s="354" customFormat="1" ht="23.1" customHeight="1">
      <c r="A268" s="409"/>
      <c r="B268" s="409"/>
      <c r="C268" s="410"/>
      <c r="D268" s="410"/>
      <c r="E268" s="410"/>
      <c r="F268" s="410"/>
      <c r="G268" s="410"/>
      <c r="H268" s="410"/>
      <c r="I268" s="410"/>
      <c r="J268" s="410"/>
      <c r="K268" s="410"/>
      <c r="L268" s="410"/>
      <c r="M268" s="410"/>
      <c r="N268" s="410"/>
      <c r="O268" s="410"/>
      <c r="P268" s="410"/>
      <c r="Q268" s="410"/>
      <c r="R268" s="410"/>
      <c r="S268" s="410"/>
      <c r="T268" s="410"/>
      <c r="U268" s="410"/>
      <c r="V268" s="410"/>
      <c r="W268" s="353"/>
    </row>
    <row r="269" spans="1:23" s="354" customFormat="1" ht="23.1" customHeight="1">
      <c r="A269" s="409"/>
      <c r="B269" s="409"/>
      <c r="C269" s="410"/>
      <c r="D269" s="410"/>
      <c r="E269" s="410"/>
      <c r="F269" s="410"/>
      <c r="G269" s="410"/>
      <c r="H269" s="410"/>
      <c r="I269" s="410"/>
      <c r="J269" s="410"/>
      <c r="K269" s="410"/>
      <c r="L269" s="410"/>
      <c r="M269" s="410"/>
      <c r="N269" s="410"/>
      <c r="O269" s="410"/>
      <c r="P269" s="410"/>
      <c r="Q269" s="410"/>
      <c r="R269" s="410"/>
      <c r="S269" s="410"/>
      <c r="T269" s="410"/>
      <c r="U269" s="410"/>
      <c r="V269" s="410"/>
      <c r="W269" s="353"/>
    </row>
    <row r="270" spans="1:23" s="354" customFormat="1" ht="23.1" customHeight="1">
      <c r="A270" s="409"/>
      <c r="B270" s="409"/>
      <c r="C270" s="410"/>
      <c r="D270" s="410"/>
      <c r="E270" s="410"/>
      <c r="F270" s="410"/>
      <c r="G270" s="410"/>
      <c r="H270" s="410"/>
      <c r="I270" s="410"/>
      <c r="J270" s="410"/>
      <c r="K270" s="410"/>
      <c r="L270" s="410"/>
      <c r="M270" s="410"/>
      <c r="N270" s="410"/>
      <c r="O270" s="410"/>
      <c r="P270" s="410"/>
      <c r="Q270" s="410"/>
      <c r="R270" s="410"/>
      <c r="S270" s="410"/>
      <c r="T270" s="410"/>
      <c r="U270" s="410"/>
      <c r="V270" s="410"/>
      <c r="W270" s="353"/>
    </row>
    <row r="271" spans="1:23" s="354" customFormat="1" ht="23.1" customHeight="1">
      <c r="A271" s="409"/>
      <c r="B271" s="409"/>
      <c r="C271" s="410"/>
      <c r="D271" s="410"/>
      <c r="E271" s="410"/>
      <c r="F271" s="410"/>
      <c r="G271" s="410"/>
      <c r="H271" s="410"/>
      <c r="I271" s="410"/>
      <c r="J271" s="410"/>
      <c r="K271" s="410"/>
      <c r="L271" s="410"/>
      <c r="M271" s="410"/>
      <c r="N271" s="410"/>
      <c r="O271" s="410"/>
      <c r="P271" s="410"/>
      <c r="Q271" s="410"/>
      <c r="R271" s="410"/>
      <c r="S271" s="410"/>
      <c r="T271" s="410"/>
      <c r="U271" s="410"/>
      <c r="V271" s="410"/>
      <c r="W271" s="353"/>
    </row>
    <row r="272" spans="1:23" s="354" customFormat="1" ht="23.1" customHeight="1">
      <c r="A272" s="409"/>
      <c r="B272" s="409"/>
      <c r="C272" s="410"/>
      <c r="D272" s="410"/>
      <c r="E272" s="410"/>
      <c r="F272" s="410"/>
      <c r="G272" s="410"/>
      <c r="H272" s="410"/>
      <c r="I272" s="410"/>
      <c r="J272" s="410"/>
      <c r="K272" s="410"/>
      <c r="L272" s="410"/>
      <c r="M272" s="410"/>
      <c r="N272" s="410"/>
      <c r="O272" s="410"/>
      <c r="P272" s="410"/>
      <c r="Q272" s="410"/>
      <c r="R272" s="410"/>
      <c r="S272" s="410"/>
      <c r="T272" s="410"/>
      <c r="U272" s="410"/>
      <c r="V272" s="410"/>
      <c r="W272" s="353"/>
    </row>
    <row r="273" spans="1:23" s="354" customFormat="1" ht="23.1" customHeight="1">
      <c r="A273" s="409"/>
      <c r="B273" s="409"/>
      <c r="C273" s="410"/>
      <c r="D273" s="410"/>
      <c r="E273" s="410"/>
      <c r="F273" s="410"/>
      <c r="G273" s="410"/>
      <c r="H273" s="410"/>
      <c r="I273" s="410"/>
      <c r="J273" s="410"/>
      <c r="K273" s="410"/>
      <c r="L273" s="410"/>
      <c r="M273" s="410"/>
      <c r="N273" s="410"/>
      <c r="O273" s="410"/>
      <c r="P273" s="410"/>
      <c r="Q273" s="410"/>
      <c r="R273" s="410"/>
      <c r="S273" s="410"/>
      <c r="T273" s="410"/>
      <c r="U273" s="410"/>
      <c r="V273" s="410"/>
      <c r="W273" s="353"/>
    </row>
    <row r="274" spans="1:23" s="354" customFormat="1" ht="23.1" customHeight="1">
      <c r="A274" s="409"/>
      <c r="B274" s="409"/>
      <c r="C274" s="410"/>
      <c r="D274" s="410"/>
      <c r="E274" s="410"/>
      <c r="F274" s="410"/>
      <c r="G274" s="410"/>
      <c r="H274" s="410"/>
      <c r="I274" s="410"/>
      <c r="J274" s="410"/>
      <c r="K274" s="410"/>
      <c r="L274" s="410"/>
      <c r="M274" s="410"/>
      <c r="N274" s="410"/>
      <c r="O274" s="410"/>
      <c r="P274" s="410"/>
      <c r="Q274" s="410"/>
      <c r="R274" s="410"/>
      <c r="S274" s="410"/>
      <c r="T274" s="410"/>
      <c r="U274" s="410"/>
      <c r="V274" s="410"/>
      <c r="W274" s="353"/>
    </row>
    <row r="275" spans="1:23" s="354" customFormat="1" ht="23.1" customHeight="1">
      <c r="A275" s="409"/>
      <c r="B275" s="409"/>
      <c r="C275" s="410"/>
      <c r="D275" s="410"/>
      <c r="E275" s="410"/>
      <c r="F275" s="410"/>
      <c r="G275" s="410"/>
      <c r="H275" s="410"/>
      <c r="I275" s="410"/>
      <c r="J275" s="410"/>
      <c r="K275" s="410"/>
      <c r="L275" s="410"/>
      <c r="M275" s="410"/>
      <c r="N275" s="410"/>
      <c r="O275" s="410"/>
      <c r="P275" s="410"/>
      <c r="Q275" s="410"/>
      <c r="R275" s="410"/>
      <c r="S275" s="410"/>
      <c r="T275" s="410"/>
      <c r="U275" s="410"/>
      <c r="V275" s="410"/>
      <c r="W275" s="353"/>
    </row>
    <row r="276" spans="1:23" s="354" customFormat="1" ht="23.1" customHeight="1">
      <c r="A276" s="409"/>
      <c r="B276" s="409"/>
      <c r="C276" s="410"/>
      <c r="D276" s="410"/>
      <c r="E276" s="410"/>
      <c r="F276" s="410"/>
      <c r="G276" s="410"/>
      <c r="H276" s="410"/>
      <c r="I276" s="410"/>
      <c r="J276" s="410"/>
      <c r="K276" s="410"/>
      <c r="L276" s="410"/>
      <c r="M276" s="410"/>
      <c r="N276" s="410"/>
      <c r="O276" s="410"/>
      <c r="P276" s="410"/>
      <c r="Q276" s="410"/>
      <c r="R276" s="410"/>
      <c r="S276" s="410"/>
      <c r="T276" s="410"/>
      <c r="U276" s="410"/>
      <c r="V276" s="410"/>
      <c r="W276" s="353"/>
    </row>
    <row r="277" spans="1:23" s="354" customFormat="1" ht="23.1" customHeight="1">
      <c r="A277" s="409"/>
      <c r="B277" s="409"/>
      <c r="C277" s="410"/>
      <c r="D277" s="410"/>
      <c r="E277" s="410"/>
      <c r="F277" s="410"/>
      <c r="G277" s="410"/>
      <c r="H277" s="410"/>
      <c r="I277" s="410"/>
      <c r="J277" s="410"/>
      <c r="K277" s="410"/>
      <c r="L277" s="410"/>
      <c r="M277" s="410"/>
      <c r="N277" s="410"/>
      <c r="O277" s="410"/>
      <c r="P277" s="410"/>
      <c r="Q277" s="410"/>
      <c r="R277" s="410"/>
      <c r="S277" s="410"/>
      <c r="T277" s="410"/>
      <c r="U277" s="410"/>
      <c r="V277" s="410"/>
      <c r="W277" s="353"/>
    </row>
    <row r="278" spans="1:23" s="354" customFormat="1" ht="23.1" customHeight="1">
      <c r="A278" s="409"/>
      <c r="B278" s="409"/>
      <c r="C278" s="410"/>
      <c r="D278" s="410"/>
      <c r="E278" s="410"/>
      <c r="F278" s="410"/>
      <c r="G278" s="410"/>
      <c r="H278" s="410"/>
      <c r="I278" s="410"/>
      <c r="J278" s="410"/>
      <c r="K278" s="410"/>
      <c r="L278" s="410"/>
      <c r="M278" s="410"/>
      <c r="N278" s="410"/>
      <c r="O278" s="410"/>
      <c r="P278" s="410"/>
      <c r="Q278" s="410"/>
      <c r="R278" s="410"/>
      <c r="S278" s="410"/>
      <c r="T278" s="410"/>
      <c r="U278" s="410"/>
      <c r="V278" s="410"/>
      <c r="W278" s="353"/>
    </row>
    <row r="279" spans="1:23" s="354" customFormat="1" ht="23.1" customHeight="1">
      <c r="A279" s="409"/>
      <c r="B279" s="409"/>
      <c r="C279" s="410"/>
      <c r="D279" s="410"/>
      <c r="E279" s="410"/>
      <c r="F279" s="410"/>
      <c r="G279" s="410"/>
      <c r="H279" s="410"/>
      <c r="I279" s="410"/>
      <c r="J279" s="410"/>
      <c r="K279" s="410"/>
      <c r="L279" s="410"/>
      <c r="M279" s="410"/>
      <c r="N279" s="410"/>
      <c r="O279" s="410"/>
      <c r="P279" s="410"/>
      <c r="Q279" s="410"/>
      <c r="R279" s="410"/>
      <c r="S279" s="410"/>
      <c r="T279" s="410"/>
      <c r="U279" s="410"/>
      <c r="V279" s="410"/>
      <c r="W279" s="353"/>
    </row>
    <row r="280" spans="1:23" s="354" customFormat="1" ht="23.1" customHeight="1">
      <c r="A280" s="409"/>
      <c r="B280" s="409"/>
      <c r="C280" s="410"/>
      <c r="D280" s="410"/>
      <c r="E280" s="410"/>
      <c r="F280" s="410"/>
      <c r="G280" s="410"/>
      <c r="H280" s="410"/>
      <c r="I280" s="410"/>
      <c r="J280" s="410"/>
      <c r="K280" s="410"/>
      <c r="L280" s="410"/>
      <c r="M280" s="410"/>
      <c r="N280" s="410"/>
      <c r="O280" s="410"/>
      <c r="P280" s="410"/>
      <c r="Q280" s="410"/>
      <c r="R280" s="410"/>
      <c r="S280" s="410"/>
      <c r="T280" s="410"/>
      <c r="U280" s="410"/>
      <c r="V280" s="410"/>
      <c r="W280" s="353"/>
    </row>
    <row r="281" spans="1:23" s="354" customFormat="1" ht="23.1" customHeight="1">
      <c r="A281" s="409"/>
      <c r="B281" s="409"/>
      <c r="C281" s="410"/>
      <c r="D281" s="410"/>
      <c r="E281" s="410"/>
      <c r="F281" s="410"/>
      <c r="G281" s="410"/>
      <c r="H281" s="410"/>
      <c r="I281" s="410"/>
      <c r="J281" s="410"/>
      <c r="K281" s="410"/>
      <c r="L281" s="410"/>
      <c r="M281" s="410"/>
      <c r="N281" s="410"/>
      <c r="O281" s="410"/>
      <c r="P281" s="410"/>
      <c r="Q281" s="410"/>
      <c r="R281" s="410"/>
      <c r="S281" s="410"/>
      <c r="T281" s="410"/>
      <c r="U281" s="410"/>
      <c r="V281" s="410"/>
      <c r="W281" s="353"/>
    </row>
    <row r="282" spans="1:23" s="354" customFormat="1" ht="23.1" customHeight="1">
      <c r="A282" s="409"/>
      <c r="B282" s="409"/>
      <c r="C282" s="410"/>
      <c r="D282" s="410"/>
      <c r="E282" s="410"/>
      <c r="F282" s="410"/>
      <c r="G282" s="410"/>
      <c r="H282" s="410"/>
      <c r="I282" s="410"/>
      <c r="J282" s="410"/>
      <c r="K282" s="410"/>
      <c r="L282" s="410"/>
      <c r="M282" s="410"/>
      <c r="N282" s="410"/>
      <c r="O282" s="410"/>
      <c r="P282" s="410"/>
      <c r="Q282" s="410"/>
      <c r="R282" s="410"/>
      <c r="S282" s="410"/>
      <c r="T282" s="410"/>
      <c r="U282" s="410"/>
      <c r="V282" s="410"/>
      <c r="W282" s="353"/>
    </row>
    <row r="283" spans="1:23" s="354" customFormat="1" ht="23.1" customHeight="1">
      <c r="A283" s="409"/>
      <c r="B283" s="409"/>
      <c r="C283" s="410"/>
      <c r="D283" s="410"/>
      <c r="E283" s="410"/>
      <c r="F283" s="410"/>
      <c r="G283" s="410"/>
      <c r="H283" s="410"/>
      <c r="I283" s="410"/>
      <c r="J283" s="410"/>
      <c r="K283" s="410"/>
      <c r="L283" s="410"/>
      <c r="M283" s="410"/>
      <c r="N283" s="410"/>
      <c r="O283" s="410"/>
      <c r="P283" s="410"/>
      <c r="Q283" s="410"/>
      <c r="R283" s="410"/>
      <c r="S283" s="410"/>
      <c r="T283" s="410"/>
      <c r="U283" s="410"/>
      <c r="V283" s="410"/>
      <c r="W283" s="353"/>
    </row>
    <row r="284" spans="1:23" s="354" customFormat="1" ht="23.1" customHeight="1">
      <c r="A284" s="409"/>
      <c r="B284" s="409"/>
      <c r="C284" s="410"/>
      <c r="D284" s="410"/>
      <c r="E284" s="410"/>
      <c r="F284" s="410"/>
      <c r="G284" s="410"/>
      <c r="H284" s="410"/>
      <c r="I284" s="410"/>
      <c r="J284" s="410"/>
      <c r="K284" s="410"/>
      <c r="L284" s="410"/>
      <c r="M284" s="410"/>
      <c r="N284" s="410"/>
      <c r="O284" s="410"/>
      <c r="P284" s="410"/>
      <c r="Q284" s="410"/>
      <c r="R284" s="410"/>
      <c r="S284" s="410"/>
      <c r="T284" s="410"/>
      <c r="U284" s="410"/>
      <c r="V284" s="410"/>
      <c r="W284" s="353"/>
    </row>
    <row r="285" spans="1:23" s="354" customFormat="1" ht="23.1" customHeight="1">
      <c r="A285" s="409"/>
      <c r="B285" s="409"/>
      <c r="C285" s="410"/>
      <c r="D285" s="410"/>
      <c r="E285" s="410"/>
      <c r="F285" s="410"/>
      <c r="G285" s="410"/>
      <c r="H285" s="410"/>
      <c r="I285" s="410"/>
      <c r="J285" s="410"/>
      <c r="K285" s="410"/>
      <c r="L285" s="410"/>
      <c r="M285" s="410"/>
      <c r="N285" s="410"/>
      <c r="O285" s="410"/>
      <c r="P285" s="410"/>
      <c r="Q285" s="410"/>
      <c r="R285" s="410"/>
      <c r="S285" s="410"/>
      <c r="T285" s="410"/>
      <c r="U285" s="410"/>
      <c r="V285" s="410"/>
      <c r="W285" s="353"/>
    </row>
    <row r="286" spans="1:23" s="354" customFormat="1" ht="23.1" customHeight="1">
      <c r="A286" s="409"/>
      <c r="B286" s="409"/>
      <c r="C286" s="410"/>
      <c r="D286" s="410"/>
      <c r="E286" s="410"/>
      <c r="F286" s="410"/>
      <c r="G286" s="410"/>
      <c r="H286" s="410"/>
      <c r="I286" s="410"/>
      <c r="J286" s="410"/>
      <c r="K286" s="410"/>
      <c r="L286" s="410"/>
      <c r="M286" s="410"/>
      <c r="N286" s="410"/>
      <c r="O286" s="410"/>
      <c r="P286" s="410"/>
      <c r="Q286" s="410"/>
      <c r="R286" s="410"/>
      <c r="S286" s="410"/>
      <c r="T286" s="410"/>
      <c r="U286" s="410"/>
      <c r="V286" s="410"/>
      <c r="W286" s="353"/>
    </row>
    <row r="287" spans="1:23" s="354" customFormat="1" ht="23.1" customHeight="1">
      <c r="A287" s="409"/>
      <c r="B287" s="409"/>
      <c r="C287" s="410"/>
      <c r="D287" s="410"/>
      <c r="E287" s="410"/>
      <c r="F287" s="410"/>
      <c r="G287" s="410"/>
      <c r="H287" s="410"/>
      <c r="I287" s="410"/>
      <c r="J287" s="410"/>
      <c r="K287" s="410"/>
      <c r="L287" s="410"/>
      <c r="M287" s="410"/>
      <c r="N287" s="410"/>
      <c r="O287" s="410"/>
      <c r="P287" s="410"/>
      <c r="Q287" s="410"/>
      <c r="R287" s="410"/>
      <c r="S287" s="410"/>
      <c r="T287" s="410"/>
      <c r="U287" s="410"/>
      <c r="V287" s="410"/>
      <c r="W287" s="353"/>
    </row>
    <row r="288" spans="1:23" s="354" customFormat="1" ht="23.1" customHeight="1">
      <c r="A288" s="409"/>
      <c r="B288" s="409"/>
      <c r="C288" s="410"/>
      <c r="D288" s="410"/>
      <c r="E288" s="410"/>
      <c r="F288" s="410"/>
      <c r="G288" s="410"/>
      <c r="H288" s="410"/>
      <c r="I288" s="410"/>
      <c r="J288" s="410"/>
      <c r="K288" s="410"/>
      <c r="L288" s="410"/>
      <c r="M288" s="410"/>
      <c r="N288" s="410"/>
      <c r="O288" s="410"/>
      <c r="P288" s="410"/>
      <c r="Q288" s="410"/>
      <c r="R288" s="410"/>
      <c r="S288" s="410"/>
      <c r="T288" s="410"/>
      <c r="U288" s="410"/>
      <c r="V288" s="410"/>
      <c r="W288" s="353"/>
    </row>
    <row r="289" spans="1:23" s="354" customFormat="1" ht="23.1" customHeight="1">
      <c r="A289" s="409"/>
      <c r="B289" s="409"/>
      <c r="C289" s="410"/>
      <c r="D289" s="410"/>
      <c r="E289" s="410"/>
      <c r="F289" s="410"/>
      <c r="G289" s="410"/>
      <c r="H289" s="410"/>
      <c r="I289" s="410"/>
      <c r="J289" s="410"/>
      <c r="K289" s="410"/>
      <c r="L289" s="410"/>
      <c r="M289" s="410"/>
      <c r="N289" s="410"/>
      <c r="O289" s="410"/>
      <c r="P289" s="410"/>
      <c r="Q289" s="410"/>
      <c r="R289" s="410"/>
      <c r="S289" s="410"/>
      <c r="T289" s="410"/>
      <c r="U289" s="410"/>
      <c r="V289" s="410"/>
      <c r="W289" s="353"/>
    </row>
    <row r="290" spans="1:23" s="354" customFormat="1" ht="23.1" customHeight="1">
      <c r="A290" s="409"/>
      <c r="B290" s="409"/>
      <c r="C290" s="410"/>
      <c r="D290" s="410"/>
      <c r="E290" s="410"/>
      <c r="F290" s="410"/>
      <c r="G290" s="410"/>
      <c r="H290" s="410"/>
      <c r="I290" s="410"/>
      <c r="J290" s="410"/>
      <c r="K290" s="410"/>
      <c r="L290" s="410"/>
      <c r="M290" s="410"/>
      <c r="N290" s="410"/>
      <c r="O290" s="410"/>
      <c r="P290" s="410"/>
      <c r="Q290" s="410"/>
      <c r="R290" s="410"/>
      <c r="S290" s="410"/>
      <c r="T290" s="410"/>
      <c r="U290" s="410"/>
      <c r="V290" s="410"/>
      <c r="W290" s="353"/>
    </row>
    <row r="291" spans="1:23" s="354" customFormat="1" ht="23.1" customHeight="1">
      <c r="A291" s="409"/>
      <c r="B291" s="409"/>
      <c r="C291" s="410"/>
      <c r="D291" s="410"/>
      <c r="E291" s="410"/>
      <c r="F291" s="410"/>
      <c r="G291" s="410"/>
      <c r="H291" s="410"/>
      <c r="I291" s="410"/>
      <c r="J291" s="410"/>
      <c r="K291" s="410"/>
      <c r="L291" s="410"/>
      <c r="M291" s="410"/>
      <c r="N291" s="410"/>
      <c r="O291" s="410"/>
      <c r="P291" s="410"/>
      <c r="Q291" s="410"/>
      <c r="R291" s="410"/>
      <c r="S291" s="410"/>
      <c r="T291" s="410"/>
      <c r="U291" s="410"/>
      <c r="V291" s="410"/>
      <c r="W291" s="353"/>
    </row>
    <row r="292" spans="1:23" s="354" customFormat="1" ht="23.1" customHeight="1">
      <c r="A292" s="409"/>
      <c r="B292" s="409"/>
      <c r="C292" s="410"/>
      <c r="D292" s="410"/>
      <c r="E292" s="410"/>
      <c r="F292" s="410"/>
      <c r="G292" s="410"/>
      <c r="H292" s="410"/>
      <c r="I292" s="410"/>
      <c r="J292" s="410"/>
      <c r="K292" s="410"/>
      <c r="L292" s="410"/>
      <c r="M292" s="410"/>
      <c r="N292" s="410"/>
      <c r="O292" s="410"/>
      <c r="P292" s="410"/>
      <c r="Q292" s="410"/>
      <c r="R292" s="410"/>
      <c r="S292" s="410"/>
      <c r="T292" s="410"/>
      <c r="U292" s="410"/>
      <c r="V292" s="410"/>
      <c r="W292" s="353"/>
    </row>
    <row r="293" spans="1:23" s="352" customFormat="1" ht="20.100000000000001" customHeight="1">
      <c r="A293" s="409"/>
      <c r="B293" s="409"/>
      <c r="C293" s="410"/>
      <c r="D293" s="410"/>
      <c r="E293" s="410"/>
      <c r="F293" s="410"/>
      <c r="G293" s="410"/>
      <c r="H293" s="410"/>
      <c r="I293" s="410"/>
      <c r="J293" s="410"/>
      <c r="K293" s="410"/>
      <c r="L293" s="410"/>
      <c r="M293" s="410"/>
      <c r="N293" s="410"/>
      <c r="O293" s="410"/>
      <c r="P293" s="410"/>
      <c r="Q293" s="410"/>
      <c r="R293" s="410"/>
      <c r="S293" s="410"/>
      <c r="T293" s="410"/>
      <c r="U293" s="410"/>
      <c r="V293" s="410"/>
    </row>
    <row r="294" spans="1:23" s="352" customFormat="1" ht="9.9499999999999993" customHeight="1">
      <c r="A294" s="409"/>
      <c r="B294" s="409"/>
      <c r="C294" s="410"/>
      <c r="D294" s="410"/>
      <c r="E294" s="410"/>
      <c r="F294" s="410"/>
      <c r="G294" s="410"/>
      <c r="H294" s="410"/>
      <c r="I294" s="410"/>
      <c r="J294" s="410"/>
      <c r="K294" s="410"/>
      <c r="L294" s="410"/>
      <c r="M294" s="410"/>
      <c r="N294" s="410"/>
      <c r="O294" s="410"/>
      <c r="P294" s="410"/>
      <c r="Q294" s="410"/>
      <c r="R294" s="410"/>
      <c r="S294" s="410"/>
      <c r="T294" s="410"/>
      <c r="U294" s="410"/>
      <c r="V294" s="410"/>
    </row>
    <row r="295" spans="1:23" s="354" customFormat="1" ht="27.95" customHeight="1">
      <c r="A295" s="409"/>
      <c r="B295" s="409"/>
      <c r="C295" s="410"/>
      <c r="D295" s="410"/>
      <c r="E295" s="410"/>
      <c r="F295" s="410"/>
      <c r="G295" s="410"/>
      <c r="H295" s="410"/>
      <c r="I295" s="410"/>
      <c r="J295" s="410"/>
      <c r="K295" s="410"/>
      <c r="L295" s="410"/>
      <c r="M295" s="410"/>
      <c r="N295" s="410"/>
      <c r="O295" s="410"/>
      <c r="P295" s="410"/>
      <c r="Q295" s="410"/>
      <c r="R295" s="410"/>
      <c r="S295" s="410"/>
      <c r="T295" s="410"/>
      <c r="U295" s="410"/>
      <c r="V295" s="410"/>
      <c r="W295" s="353"/>
    </row>
    <row r="296" spans="1:23" s="354" customFormat="1" ht="27.95" customHeight="1">
      <c r="A296" s="409"/>
      <c r="B296" s="409"/>
      <c r="C296" s="410"/>
      <c r="D296" s="410"/>
      <c r="E296" s="410"/>
      <c r="F296" s="410"/>
      <c r="G296" s="410"/>
      <c r="H296" s="410"/>
      <c r="I296" s="410"/>
      <c r="J296" s="410"/>
      <c r="K296" s="410"/>
      <c r="L296" s="410"/>
      <c r="M296" s="410"/>
      <c r="N296" s="410"/>
      <c r="O296" s="410"/>
      <c r="P296" s="410"/>
      <c r="Q296" s="410"/>
      <c r="R296" s="410"/>
      <c r="S296" s="410"/>
      <c r="T296" s="410"/>
      <c r="U296" s="410"/>
      <c r="V296" s="410"/>
      <c r="W296" s="353"/>
    </row>
    <row r="297" spans="1:23" s="354" customFormat="1" ht="23.1" customHeight="1">
      <c r="A297" s="409"/>
      <c r="B297" s="409"/>
      <c r="C297" s="410"/>
      <c r="D297" s="410"/>
      <c r="E297" s="410"/>
      <c r="F297" s="410"/>
      <c r="G297" s="410"/>
      <c r="H297" s="410"/>
      <c r="I297" s="410"/>
      <c r="J297" s="410"/>
      <c r="K297" s="410"/>
      <c r="L297" s="410"/>
      <c r="M297" s="410"/>
      <c r="N297" s="410"/>
      <c r="O297" s="410"/>
      <c r="P297" s="410"/>
      <c r="Q297" s="410"/>
      <c r="R297" s="410"/>
      <c r="S297" s="410"/>
      <c r="T297" s="410"/>
      <c r="U297" s="410"/>
      <c r="V297" s="410"/>
      <c r="W297" s="353"/>
    </row>
    <row r="298" spans="1:23" s="354" customFormat="1" ht="23.1" customHeight="1">
      <c r="A298" s="409"/>
      <c r="B298" s="409"/>
      <c r="C298" s="410"/>
      <c r="D298" s="410"/>
      <c r="E298" s="410"/>
      <c r="F298" s="410"/>
      <c r="G298" s="410"/>
      <c r="H298" s="410"/>
      <c r="I298" s="410"/>
      <c r="J298" s="410"/>
      <c r="K298" s="410"/>
      <c r="L298" s="410"/>
      <c r="M298" s="410"/>
      <c r="N298" s="410"/>
      <c r="O298" s="410"/>
      <c r="P298" s="410"/>
      <c r="Q298" s="410"/>
      <c r="R298" s="410"/>
      <c r="S298" s="410"/>
      <c r="T298" s="410"/>
      <c r="U298" s="410"/>
      <c r="V298" s="410"/>
      <c r="W298" s="353"/>
    </row>
    <row r="299" spans="1:23" s="354" customFormat="1" ht="23.1" customHeight="1">
      <c r="A299" s="409"/>
      <c r="B299" s="409"/>
      <c r="C299" s="410"/>
      <c r="D299" s="410"/>
      <c r="E299" s="410"/>
      <c r="F299" s="410"/>
      <c r="G299" s="410"/>
      <c r="H299" s="410"/>
      <c r="I299" s="410"/>
      <c r="J299" s="410"/>
      <c r="K299" s="410"/>
      <c r="L299" s="410"/>
      <c r="M299" s="410"/>
      <c r="N299" s="410"/>
      <c r="O299" s="410"/>
      <c r="P299" s="410"/>
      <c r="Q299" s="410"/>
      <c r="R299" s="410"/>
      <c r="S299" s="410"/>
      <c r="T299" s="410"/>
      <c r="U299" s="410"/>
      <c r="V299" s="410"/>
      <c r="W299" s="353"/>
    </row>
    <row r="300" spans="1:23" s="354" customFormat="1" ht="23.1" customHeight="1">
      <c r="A300" s="409"/>
      <c r="B300" s="409"/>
      <c r="C300" s="410"/>
      <c r="D300" s="410"/>
      <c r="E300" s="410"/>
      <c r="F300" s="410"/>
      <c r="G300" s="410"/>
      <c r="H300" s="410"/>
      <c r="I300" s="410"/>
      <c r="J300" s="410"/>
      <c r="K300" s="410"/>
      <c r="L300" s="410"/>
      <c r="M300" s="410"/>
      <c r="N300" s="410"/>
      <c r="O300" s="410"/>
      <c r="P300" s="410"/>
      <c r="Q300" s="410"/>
      <c r="R300" s="410"/>
      <c r="S300" s="410"/>
      <c r="T300" s="410"/>
      <c r="U300" s="410"/>
      <c r="V300" s="410"/>
      <c r="W300" s="353"/>
    </row>
    <row r="301" spans="1:23" s="354" customFormat="1" ht="23.1" customHeight="1">
      <c r="A301" s="409"/>
      <c r="B301" s="409"/>
      <c r="C301" s="410"/>
      <c r="D301" s="410"/>
      <c r="E301" s="410"/>
      <c r="F301" s="410"/>
      <c r="G301" s="410"/>
      <c r="H301" s="410"/>
      <c r="I301" s="410"/>
      <c r="J301" s="410"/>
      <c r="K301" s="410"/>
      <c r="L301" s="410"/>
      <c r="M301" s="410"/>
      <c r="N301" s="410"/>
      <c r="O301" s="410"/>
      <c r="P301" s="410"/>
      <c r="Q301" s="410"/>
      <c r="R301" s="410"/>
      <c r="S301" s="410"/>
      <c r="T301" s="410"/>
      <c r="U301" s="410"/>
      <c r="V301" s="410"/>
      <c r="W301" s="353"/>
    </row>
    <row r="302" spans="1:23" s="354" customFormat="1" ht="23.1" customHeight="1">
      <c r="A302" s="409"/>
      <c r="B302" s="409"/>
      <c r="C302" s="410"/>
      <c r="D302" s="410"/>
      <c r="E302" s="410"/>
      <c r="F302" s="410"/>
      <c r="G302" s="410"/>
      <c r="H302" s="410"/>
      <c r="I302" s="410"/>
      <c r="J302" s="410"/>
      <c r="K302" s="410"/>
      <c r="L302" s="410"/>
      <c r="M302" s="410"/>
      <c r="N302" s="410"/>
      <c r="O302" s="410"/>
      <c r="P302" s="410"/>
      <c r="Q302" s="410"/>
      <c r="R302" s="410"/>
      <c r="S302" s="410"/>
      <c r="T302" s="410"/>
      <c r="U302" s="410"/>
      <c r="V302" s="410"/>
      <c r="W302" s="353"/>
    </row>
    <row r="303" spans="1:23" s="354" customFormat="1" ht="23.1" customHeight="1">
      <c r="A303" s="409"/>
      <c r="B303" s="409"/>
      <c r="C303" s="410"/>
      <c r="D303" s="410"/>
      <c r="E303" s="410"/>
      <c r="F303" s="410"/>
      <c r="G303" s="410"/>
      <c r="H303" s="410"/>
      <c r="I303" s="410"/>
      <c r="J303" s="410"/>
      <c r="K303" s="410"/>
      <c r="L303" s="410"/>
      <c r="M303" s="410"/>
      <c r="N303" s="410"/>
      <c r="O303" s="410"/>
      <c r="P303" s="410"/>
      <c r="Q303" s="410"/>
      <c r="R303" s="410"/>
      <c r="S303" s="410"/>
      <c r="T303" s="410"/>
      <c r="U303" s="410"/>
      <c r="V303" s="410"/>
      <c r="W303" s="353"/>
    </row>
    <row r="304" spans="1:23" s="354" customFormat="1" ht="23.1" customHeight="1">
      <c r="A304" s="409"/>
      <c r="B304" s="409"/>
      <c r="C304" s="410"/>
      <c r="D304" s="410"/>
      <c r="E304" s="410"/>
      <c r="F304" s="410"/>
      <c r="G304" s="410"/>
      <c r="H304" s="410"/>
      <c r="I304" s="410"/>
      <c r="J304" s="410"/>
      <c r="K304" s="410"/>
      <c r="L304" s="410"/>
      <c r="M304" s="410"/>
      <c r="N304" s="410"/>
      <c r="O304" s="410"/>
      <c r="P304" s="410"/>
      <c r="Q304" s="410"/>
      <c r="R304" s="410"/>
      <c r="S304" s="410"/>
      <c r="T304" s="410"/>
      <c r="U304" s="410"/>
      <c r="V304" s="410"/>
      <c r="W304" s="353"/>
    </row>
    <row r="305" spans="1:23" s="354" customFormat="1" ht="23.1" customHeight="1">
      <c r="A305" s="409"/>
      <c r="B305" s="409"/>
      <c r="C305" s="410"/>
      <c r="D305" s="410"/>
      <c r="E305" s="410"/>
      <c r="F305" s="410"/>
      <c r="G305" s="410"/>
      <c r="H305" s="410"/>
      <c r="I305" s="410"/>
      <c r="J305" s="410"/>
      <c r="K305" s="410"/>
      <c r="L305" s="410"/>
      <c r="M305" s="410"/>
      <c r="N305" s="410"/>
      <c r="O305" s="410"/>
      <c r="P305" s="410"/>
      <c r="Q305" s="410"/>
      <c r="R305" s="410"/>
      <c r="S305" s="410"/>
      <c r="T305" s="410"/>
      <c r="U305" s="410"/>
      <c r="V305" s="410"/>
      <c r="W305" s="353"/>
    </row>
    <row r="306" spans="1:23" s="354" customFormat="1" ht="23.1" customHeight="1">
      <c r="A306" s="409"/>
      <c r="B306" s="409"/>
      <c r="C306" s="410"/>
      <c r="D306" s="410"/>
      <c r="E306" s="410"/>
      <c r="F306" s="410"/>
      <c r="G306" s="410"/>
      <c r="H306" s="410"/>
      <c r="I306" s="410"/>
      <c r="J306" s="410"/>
      <c r="K306" s="410"/>
      <c r="L306" s="410"/>
      <c r="M306" s="410"/>
      <c r="N306" s="410"/>
      <c r="O306" s="410"/>
      <c r="P306" s="410"/>
      <c r="Q306" s="410"/>
      <c r="R306" s="410"/>
      <c r="S306" s="410"/>
      <c r="T306" s="410"/>
      <c r="U306" s="410"/>
      <c r="V306" s="410"/>
      <c r="W306" s="353"/>
    </row>
    <row r="307" spans="1:23" s="354" customFormat="1" ht="23.1" customHeight="1">
      <c r="A307" s="409"/>
      <c r="B307" s="409"/>
      <c r="C307" s="410"/>
      <c r="D307" s="410"/>
      <c r="E307" s="410"/>
      <c r="F307" s="410"/>
      <c r="G307" s="410"/>
      <c r="H307" s="410"/>
      <c r="I307" s="410"/>
      <c r="J307" s="410"/>
      <c r="K307" s="410"/>
      <c r="L307" s="410"/>
      <c r="M307" s="410"/>
      <c r="N307" s="410"/>
      <c r="O307" s="410"/>
      <c r="P307" s="410"/>
      <c r="Q307" s="410"/>
      <c r="R307" s="410"/>
      <c r="S307" s="410"/>
      <c r="T307" s="410"/>
      <c r="U307" s="410"/>
      <c r="V307" s="410"/>
      <c r="W307" s="353"/>
    </row>
    <row r="308" spans="1:23" s="354" customFormat="1" ht="23.1" customHeight="1">
      <c r="A308" s="409"/>
      <c r="B308" s="409"/>
      <c r="C308" s="410"/>
      <c r="D308" s="410"/>
      <c r="E308" s="410"/>
      <c r="F308" s="410"/>
      <c r="G308" s="410"/>
      <c r="H308" s="410"/>
      <c r="I308" s="410"/>
      <c r="J308" s="410"/>
      <c r="K308" s="410"/>
      <c r="L308" s="410"/>
      <c r="M308" s="410"/>
      <c r="N308" s="410"/>
      <c r="O308" s="410"/>
      <c r="P308" s="410"/>
      <c r="Q308" s="410"/>
      <c r="R308" s="410"/>
      <c r="S308" s="410"/>
      <c r="T308" s="410"/>
      <c r="U308" s="410"/>
      <c r="V308" s="410"/>
      <c r="W308" s="353"/>
    </row>
    <row r="309" spans="1:23" s="354" customFormat="1" ht="23.1" customHeight="1">
      <c r="A309" s="409"/>
      <c r="B309" s="409"/>
      <c r="C309" s="410"/>
      <c r="D309" s="410"/>
      <c r="E309" s="410"/>
      <c r="F309" s="410"/>
      <c r="G309" s="410"/>
      <c r="H309" s="410"/>
      <c r="I309" s="410"/>
      <c r="J309" s="410"/>
      <c r="K309" s="410"/>
      <c r="L309" s="410"/>
      <c r="M309" s="410"/>
      <c r="N309" s="410"/>
      <c r="O309" s="410"/>
      <c r="P309" s="410"/>
      <c r="Q309" s="410"/>
      <c r="R309" s="410"/>
      <c r="S309" s="410"/>
      <c r="T309" s="410"/>
      <c r="U309" s="410"/>
      <c r="V309" s="410"/>
      <c r="W309" s="353"/>
    </row>
    <row r="310" spans="1:23" s="354" customFormat="1" ht="23.1" customHeight="1">
      <c r="A310" s="409"/>
      <c r="B310" s="409"/>
      <c r="C310" s="410"/>
      <c r="D310" s="410"/>
      <c r="E310" s="410"/>
      <c r="F310" s="410"/>
      <c r="G310" s="410"/>
      <c r="H310" s="410"/>
      <c r="I310" s="410"/>
      <c r="J310" s="410"/>
      <c r="K310" s="410"/>
      <c r="L310" s="410"/>
      <c r="M310" s="410"/>
      <c r="N310" s="410"/>
      <c r="O310" s="410"/>
      <c r="P310" s="410"/>
      <c r="Q310" s="410"/>
      <c r="R310" s="410"/>
      <c r="S310" s="410"/>
      <c r="T310" s="410"/>
      <c r="U310" s="410"/>
      <c r="V310" s="410"/>
      <c r="W310" s="353"/>
    </row>
    <row r="311" spans="1:23" s="354" customFormat="1" ht="23.1" customHeight="1">
      <c r="A311" s="409"/>
      <c r="B311" s="409"/>
      <c r="C311" s="410"/>
      <c r="D311" s="410"/>
      <c r="E311" s="410"/>
      <c r="F311" s="410"/>
      <c r="G311" s="410"/>
      <c r="H311" s="410"/>
      <c r="I311" s="410"/>
      <c r="J311" s="410"/>
      <c r="K311" s="410"/>
      <c r="L311" s="410"/>
      <c r="M311" s="410"/>
      <c r="N311" s="410"/>
      <c r="O311" s="410"/>
      <c r="P311" s="410"/>
      <c r="Q311" s="410"/>
      <c r="R311" s="410"/>
      <c r="S311" s="410"/>
      <c r="T311" s="410"/>
      <c r="U311" s="410"/>
      <c r="V311" s="410"/>
      <c r="W311" s="353"/>
    </row>
    <row r="312" spans="1:23" s="354" customFormat="1" ht="23.1" customHeight="1">
      <c r="A312" s="409"/>
      <c r="B312" s="409"/>
      <c r="C312" s="410"/>
      <c r="D312" s="410"/>
      <c r="E312" s="410"/>
      <c r="F312" s="410"/>
      <c r="G312" s="410"/>
      <c r="H312" s="410"/>
      <c r="I312" s="410"/>
      <c r="J312" s="410"/>
      <c r="K312" s="410"/>
      <c r="L312" s="410"/>
      <c r="M312" s="410"/>
      <c r="N312" s="410"/>
      <c r="O312" s="410"/>
      <c r="P312" s="410"/>
      <c r="Q312" s="410"/>
      <c r="R312" s="410"/>
      <c r="S312" s="410"/>
      <c r="T312" s="410"/>
      <c r="U312" s="410"/>
      <c r="V312" s="410"/>
      <c r="W312" s="353"/>
    </row>
    <row r="313" spans="1:23" s="354" customFormat="1" ht="23.1" customHeight="1">
      <c r="A313" s="409"/>
      <c r="B313" s="409"/>
      <c r="C313" s="410"/>
      <c r="D313" s="410"/>
      <c r="E313" s="410"/>
      <c r="F313" s="410"/>
      <c r="G313" s="410"/>
      <c r="H313" s="410"/>
      <c r="I313" s="410"/>
      <c r="J313" s="410"/>
      <c r="K313" s="410"/>
      <c r="L313" s="410"/>
      <c r="M313" s="410"/>
      <c r="N313" s="410"/>
      <c r="O313" s="410"/>
      <c r="P313" s="410"/>
      <c r="Q313" s="410"/>
      <c r="R313" s="410"/>
      <c r="S313" s="410"/>
      <c r="T313" s="410"/>
      <c r="U313" s="410"/>
      <c r="V313" s="410"/>
      <c r="W313" s="353"/>
    </row>
    <row r="314" spans="1:23" s="354" customFormat="1" ht="23.1" customHeight="1">
      <c r="A314" s="409"/>
      <c r="B314" s="409"/>
      <c r="C314" s="410"/>
      <c r="D314" s="410"/>
      <c r="E314" s="410"/>
      <c r="F314" s="410"/>
      <c r="G314" s="410"/>
      <c r="H314" s="410"/>
      <c r="I314" s="410"/>
      <c r="J314" s="410"/>
      <c r="K314" s="410"/>
      <c r="L314" s="410"/>
      <c r="M314" s="410"/>
      <c r="N314" s="410"/>
      <c r="O314" s="410"/>
      <c r="P314" s="410"/>
      <c r="Q314" s="410"/>
      <c r="R314" s="410"/>
      <c r="S314" s="410"/>
      <c r="T314" s="410"/>
      <c r="U314" s="410"/>
      <c r="V314" s="410"/>
      <c r="W314" s="353"/>
    </row>
    <row r="315" spans="1:23" s="354" customFormat="1" ht="23.1" customHeight="1">
      <c r="A315" s="409"/>
      <c r="B315" s="409"/>
      <c r="C315" s="410"/>
      <c r="D315" s="410"/>
      <c r="E315" s="410"/>
      <c r="F315" s="410"/>
      <c r="G315" s="410"/>
      <c r="H315" s="410"/>
      <c r="I315" s="410"/>
      <c r="J315" s="410"/>
      <c r="K315" s="410"/>
      <c r="L315" s="410"/>
      <c r="M315" s="410"/>
      <c r="N315" s="410"/>
      <c r="O315" s="410"/>
      <c r="P315" s="410"/>
      <c r="Q315" s="410"/>
      <c r="R315" s="410"/>
      <c r="S315" s="410"/>
      <c r="T315" s="410"/>
      <c r="U315" s="410"/>
      <c r="V315" s="410"/>
      <c r="W315" s="353"/>
    </row>
    <row r="316" spans="1:23" s="354" customFormat="1" ht="23.1" customHeight="1">
      <c r="A316" s="409"/>
      <c r="B316" s="409"/>
      <c r="C316" s="410"/>
      <c r="D316" s="410"/>
      <c r="E316" s="410"/>
      <c r="F316" s="410"/>
      <c r="G316" s="410"/>
      <c r="H316" s="410"/>
      <c r="I316" s="410"/>
      <c r="J316" s="410"/>
      <c r="K316" s="410"/>
      <c r="L316" s="410"/>
      <c r="M316" s="410"/>
      <c r="N316" s="410"/>
      <c r="O316" s="410"/>
      <c r="P316" s="410"/>
      <c r="Q316" s="410"/>
      <c r="R316" s="410"/>
      <c r="S316" s="410"/>
      <c r="T316" s="410"/>
      <c r="U316" s="410"/>
      <c r="V316" s="410"/>
      <c r="W316" s="353"/>
    </row>
    <row r="317" spans="1:23" s="354" customFormat="1" ht="23.1" customHeight="1">
      <c r="A317" s="409"/>
      <c r="B317" s="409"/>
      <c r="C317" s="410"/>
      <c r="D317" s="410"/>
      <c r="E317" s="410"/>
      <c r="F317" s="410"/>
      <c r="G317" s="410"/>
      <c r="H317" s="410"/>
      <c r="I317" s="410"/>
      <c r="J317" s="410"/>
      <c r="K317" s="410"/>
      <c r="L317" s="410"/>
      <c r="M317" s="410"/>
      <c r="N317" s="410"/>
      <c r="O317" s="410"/>
      <c r="P317" s="410"/>
      <c r="Q317" s="410"/>
      <c r="R317" s="410"/>
      <c r="S317" s="410"/>
      <c r="T317" s="410"/>
      <c r="U317" s="410"/>
      <c r="V317" s="410"/>
      <c r="W317" s="353"/>
    </row>
    <row r="318" spans="1:23" s="354" customFormat="1" ht="23.1" customHeight="1">
      <c r="A318" s="409"/>
      <c r="B318" s="409"/>
      <c r="C318" s="410"/>
      <c r="D318" s="410"/>
      <c r="E318" s="410"/>
      <c r="F318" s="410"/>
      <c r="G318" s="410"/>
      <c r="H318" s="410"/>
      <c r="I318" s="410"/>
      <c r="J318" s="410"/>
      <c r="K318" s="410"/>
      <c r="L318" s="410"/>
      <c r="M318" s="410"/>
      <c r="N318" s="410"/>
      <c r="O318" s="410"/>
      <c r="P318" s="410"/>
      <c r="Q318" s="410"/>
      <c r="R318" s="410"/>
      <c r="S318" s="410"/>
      <c r="T318" s="410"/>
      <c r="U318" s="410"/>
      <c r="V318" s="410"/>
      <c r="W318" s="353"/>
    </row>
    <row r="319" spans="1:23" s="354" customFormat="1" ht="23.1" customHeight="1">
      <c r="A319" s="409"/>
      <c r="B319" s="409"/>
      <c r="C319" s="410"/>
      <c r="D319" s="410"/>
      <c r="E319" s="410"/>
      <c r="F319" s="410"/>
      <c r="G319" s="410"/>
      <c r="H319" s="410"/>
      <c r="I319" s="410"/>
      <c r="J319" s="410"/>
      <c r="K319" s="410"/>
      <c r="L319" s="410"/>
      <c r="M319" s="410"/>
      <c r="N319" s="410"/>
      <c r="O319" s="410"/>
      <c r="P319" s="410"/>
      <c r="Q319" s="410"/>
      <c r="R319" s="410"/>
      <c r="S319" s="410"/>
      <c r="T319" s="410"/>
      <c r="U319" s="410"/>
      <c r="V319" s="410"/>
      <c r="W319" s="353"/>
    </row>
    <row r="320" spans="1:23" s="354" customFormat="1" ht="23.1" customHeight="1">
      <c r="A320" s="409"/>
      <c r="B320" s="409"/>
      <c r="C320" s="410"/>
      <c r="D320" s="410"/>
      <c r="E320" s="410"/>
      <c r="F320" s="410"/>
      <c r="G320" s="410"/>
      <c r="H320" s="410"/>
      <c r="I320" s="410"/>
      <c r="J320" s="410"/>
      <c r="K320" s="410"/>
      <c r="L320" s="410"/>
      <c r="M320" s="410"/>
      <c r="N320" s="410"/>
      <c r="O320" s="410"/>
      <c r="P320" s="410"/>
      <c r="Q320" s="410"/>
      <c r="R320" s="410"/>
      <c r="S320" s="410"/>
      <c r="T320" s="410"/>
      <c r="U320" s="410"/>
      <c r="V320" s="410"/>
      <c r="W320" s="353"/>
    </row>
    <row r="321" spans="1:23" s="354" customFormat="1" ht="23.1" customHeight="1">
      <c r="A321" s="409"/>
      <c r="B321" s="409"/>
      <c r="C321" s="410"/>
      <c r="D321" s="410"/>
      <c r="E321" s="410"/>
      <c r="F321" s="410"/>
      <c r="G321" s="410"/>
      <c r="H321" s="410"/>
      <c r="I321" s="410"/>
      <c r="J321" s="410"/>
      <c r="K321" s="410"/>
      <c r="L321" s="410"/>
      <c r="M321" s="410"/>
      <c r="N321" s="410"/>
      <c r="O321" s="410"/>
      <c r="P321" s="410"/>
      <c r="Q321" s="410"/>
      <c r="R321" s="410"/>
      <c r="S321" s="410"/>
      <c r="T321" s="410"/>
      <c r="U321" s="410"/>
      <c r="V321" s="410"/>
      <c r="W321" s="353"/>
    </row>
    <row r="322" spans="1:23" s="354" customFormat="1" ht="23.1" customHeight="1">
      <c r="A322" s="409"/>
      <c r="B322" s="409"/>
      <c r="C322" s="410"/>
      <c r="D322" s="410"/>
      <c r="E322" s="410"/>
      <c r="F322" s="410"/>
      <c r="G322" s="410"/>
      <c r="H322" s="410"/>
      <c r="I322" s="410"/>
      <c r="J322" s="410"/>
      <c r="K322" s="410"/>
      <c r="L322" s="410"/>
      <c r="M322" s="410"/>
      <c r="N322" s="410"/>
      <c r="O322" s="410"/>
      <c r="P322" s="410"/>
      <c r="Q322" s="410"/>
      <c r="R322" s="410"/>
      <c r="S322" s="410"/>
      <c r="T322" s="410"/>
      <c r="U322" s="410"/>
      <c r="V322" s="410"/>
      <c r="W322" s="353"/>
    </row>
    <row r="323" spans="1:23" s="352" customFormat="1" ht="20.100000000000001" customHeight="1">
      <c r="A323" s="409"/>
      <c r="B323" s="409"/>
      <c r="C323" s="410"/>
      <c r="D323" s="410"/>
      <c r="E323" s="410"/>
      <c r="F323" s="410"/>
      <c r="G323" s="410"/>
      <c r="H323" s="410"/>
      <c r="I323" s="410"/>
      <c r="J323" s="410"/>
      <c r="K323" s="410"/>
      <c r="L323" s="410"/>
      <c r="M323" s="410"/>
      <c r="N323" s="410"/>
      <c r="O323" s="410"/>
      <c r="P323" s="410"/>
      <c r="Q323" s="410"/>
      <c r="R323" s="410"/>
      <c r="S323" s="410"/>
      <c r="T323" s="410"/>
      <c r="U323" s="410"/>
      <c r="V323" s="410"/>
    </row>
    <row r="324" spans="1:23" s="352" customFormat="1" ht="9.9499999999999993" customHeight="1">
      <c r="A324" s="409"/>
      <c r="B324" s="409"/>
      <c r="C324" s="410"/>
      <c r="D324" s="410"/>
      <c r="E324" s="410"/>
      <c r="F324" s="410"/>
      <c r="G324" s="410"/>
      <c r="H324" s="410"/>
      <c r="I324" s="410"/>
      <c r="J324" s="410"/>
      <c r="K324" s="410"/>
      <c r="L324" s="410"/>
      <c r="M324" s="410"/>
      <c r="N324" s="410"/>
      <c r="O324" s="410"/>
      <c r="P324" s="410"/>
      <c r="Q324" s="410"/>
      <c r="R324" s="410"/>
      <c r="S324" s="410"/>
      <c r="T324" s="410"/>
      <c r="U324" s="410"/>
      <c r="V324" s="410"/>
    </row>
    <row r="325" spans="1:23" s="354" customFormat="1" ht="27.95" customHeight="1">
      <c r="A325" s="409"/>
      <c r="B325" s="409"/>
      <c r="C325" s="410"/>
      <c r="D325" s="410"/>
      <c r="E325" s="410"/>
      <c r="F325" s="410"/>
      <c r="G325" s="410"/>
      <c r="H325" s="410"/>
      <c r="I325" s="410"/>
      <c r="J325" s="410"/>
      <c r="K325" s="410"/>
      <c r="L325" s="410"/>
      <c r="M325" s="410"/>
      <c r="N325" s="410"/>
      <c r="O325" s="410"/>
      <c r="P325" s="410"/>
      <c r="Q325" s="410"/>
      <c r="R325" s="410"/>
      <c r="S325" s="410"/>
      <c r="T325" s="410"/>
      <c r="U325" s="410"/>
      <c r="V325" s="410"/>
      <c r="W325" s="353"/>
    </row>
    <row r="326" spans="1:23" s="354" customFormat="1" ht="27.95" customHeight="1">
      <c r="A326" s="409"/>
      <c r="B326" s="409"/>
      <c r="C326" s="410"/>
      <c r="D326" s="410"/>
      <c r="E326" s="410"/>
      <c r="F326" s="410"/>
      <c r="G326" s="410"/>
      <c r="H326" s="410"/>
      <c r="I326" s="410"/>
      <c r="J326" s="410"/>
      <c r="K326" s="410"/>
      <c r="L326" s="410"/>
      <c r="M326" s="410"/>
      <c r="N326" s="410"/>
      <c r="O326" s="410"/>
      <c r="P326" s="410"/>
      <c r="Q326" s="410"/>
      <c r="R326" s="410"/>
      <c r="S326" s="410"/>
      <c r="T326" s="410"/>
      <c r="U326" s="410"/>
      <c r="V326" s="410"/>
      <c r="W326" s="353"/>
    </row>
    <row r="327" spans="1:23" s="354" customFormat="1" ht="23.1" customHeight="1">
      <c r="A327" s="409"/>
      <c r="B327" s="409"/>
      <c r="C327" s="410"/>
      <c r="D327" s="410"/>
      <c r="E327" s="410"/>
      <c r="F327" s="410"/>
      <c r="G327" s="410"/>
      <c r="H327" s="410"/>
      <c r="I327" s="410"/>
      <c r="J327" s="410"/>
      <c r="K327" s="410"/>
      <c r="L327" s="410"/>
      <c r="M327" s="410"/>
      <c r="N327" s="410"/>
      <c r="O327" s="410"/>
      <c r="P327" s="410"/>
      <c r="Q327" s="410"/>
      <c r="R327" s="410"/>
      <c r="S327" s="410"/>
      <c r="T327" s="410"/>
      <c r="U327" s="410"/>
      <c r="V327" s="410"/>
      <c r="W327" s="353"/>
    </row>
    <row r="328" spans="1:23" s="354" customFormat="1" ht="23.1" customHeight="1">
      <c r="A328" s="409"/>
      <c r="B328" s="409"/>
      <c r="C328" s="410"/>
      <c r="D328" s="410"/>
      <c r="E328" s="410"/>
      <c r="F328" s="410"/>
      <c r="G328" s="410"/>
      <c r="H328" s="410"/>
      <c r="I328" s="410"/>
      <c r="J328" s="410"/>
      <c r="K328" s="410"/>
      <c r="L328" s="410"/>
      <c r="M328" s="410"/>
      <c r="N328" s="410"/>
      <c r="O328" s="410"/>
      <c r="P328" s="410"/>
      <c r="Q328" s="410"/>
      <c r="R328" s="410"/>
      <c r="S328" s="410"/>
      <c r="T328" s="410"/>
      <c r="U328" s="410"/>
      <c r="V328" s="410"/>
      <c r="W328" s="353"/>
    </row>
    <row r="329" spans="1:23" s="354" customFormat="1" ht="23.1" customHeight="1">
      <c r="A329" s="409"/>
      <c r="B329" s="409"/>
      <c r="C329" s="410"/>
      <c r="D329" s="410"/>
      <c r="E329" s="410"/>
      <c r="F329" s="410"/>
      <c r="G329" s="410"/>
      <c r="H329" s="410"/>
      <c r="I329" s="410"/>
      <c r="J329" s="410"/>
      <c r="K329" s="410"/>
      <c r="L329" s="410"/>
      <c r="M329" s="410"/>
      <c r="N329" s="410"/>
      <c r="O329" s="410"/>
      <c r="P329" s="410"/>
      <c r="Q329" s="410"/>
      <c r="R329" s="410"/>
      <c r="S329" s="410"/>
      <c r="T329" s="410"/>
      <c r="U329" s="410"/>
      <c r="V329" s="410"/>
      <c r="W329" s="353"/>
    </row>
    <row r="330" spans="1:23" s="354" customFormat="1" ht="23.1" customHeight="1">
      <c r="A330" s="409"/>
      <c r="B330" s="409"/>
      <c r="C330" s="410"/>
      <c r="D330" s="410"/>
      <c r="E330" s="410"/>
      <c r="F330" s="410"/>
      <c r="G330" s="410"/>
      <c r="H330" s="410"/>
      <c r="I330" s="410"/>
      <c r="J330" s="410"/>
      <c r="K330" s="410"/>
      <c r="L330" s="410"/>
      <c r="M330" s="410"/>
      <c r="N330" s="410"/>
      <c r="O330" s="410"/>
      <c r="P330" s="410"/>
      <c r="Q330" s="410"/>
      <c r="R330" s="410"/>
      <c r="S330" s="410"/>
      <c r="T330" s="410"/>
      <c r="U330" s="410"/>
      <c r="V330" s="410"/>
      <c r="W330" s="353"/>
    </row>
    <row r="331" spans="1:23" s="354" customFormat="1" ht="23.1" customHeight="1">
      <c r="A331" s="409"/>
      <c r="B331" s="409"/>
      <c r="C331" s="410"/>
      <c r="D331" s="410"/>
      <c r="E331" s="410"/>
      <c r="F331" s="410"/>
      <c r="G331" s="410"/>
      <c r="H331" s="410"/>
      <c r="I331" s="410"/>
      <c r="J331" s="410"/>
      <c r="K331" s="410"/>
      <c r="L331" s="410"/>
      <c r="M331" s="410"/>
      <c r="N331" s="410"/>
      <c r="O331" s="410"/>
      <c r="P331" s="410"/>
      <c r="Q331" s="410"/>
      <c r="R331" s="410"/>
      <c r="S331" s="410"/>
      <c r="T331" s="410"/>
      <c r="U331" s="410"/>
      <c r="V331" s="410"/>
      <c r="W331" s="353"/>
    </row>
    <row r="332" spans="1:23" s="354" customFormat="1" ht="23.1" customHeight="1">
      <c r="A332" s="409"/>
      <c r="B332" s="409"/>
      <c r="C332" s="410"/>
      <c r="D332" s="410"/>
      <c r="E332" s="410"/>
      <c r="F332" s="410"/>
      <c r="G332" s="410"/>
      <c r="H332" s="410"/>
      <c r="I332" s="410"/>
      <c r="J332" s="410"/>
      <c r="K332" s="410"/>
      <c r="L332" s="410"/>
      <c r="M332" s="410"/>
      <c r="N332" s="410"/>
      <c r="O332" s="410"/>
      <c r="P332" s="410"/>
      <c r="Q332" s="410"/>
      <c r="R332" s="410"/>
      <c r="S332" s="410"/>
      <c r="T332" s="410"/>
      <c r="U332" s="410"/>
      <c r="V332" s="410"/>
      <c r="W332" s="353"/>
    </row>
    <row r="333" spans="1:23" s="354" customFormat="1" ht="23.1" customHeight="1">
      <c r="A333" s="409"/>
      <c r="B333" s="409"/>
      <c r="C333" s="410"/>
      <c r="D333" s="410"/>
      <c r="E333" s="410"/>
      <c r="F333" s="410"/>
      <c r="G333" s="410"/>
      <c r="H333" s="410"/>
      <c r="I333" s="410"/>
      <c r="J333" s="410"/>
      <c r="K333" s="410"/>
      <c r="L333" s="410"/>
      <c r="M333" s="410"/>
      <c r="N333" s="410"/>
      <c r="O333" s="410"/>
      <c r="P333" s="410"/>
      <c r="Q333" s="410"/>
      <c r="R333" s="410"/>
      <c r="S333" s="410"/>
      <c r="T333" s="410"/>
      <c r="U333" s="410"/>
      <c r="V333" s="410"/>
      <c r="W333" s="353"/>
    </row>
    <row r="334" spans="1:23" s="354" customFormat="1" ht="23.1" customHeight="1">
      <c r="A334" s="409"/>
      <c r="B334" s="409"/>
      <c r="C334" s="410"/>
      <c r="D334" s="410"/>
      <c r="E334" s="410"/>
      <c r="F334" s="410"/>
      <c r="G334" s="410"/>
      <c r="H334" s="410"/>
      <c r="I334" s="410"/>
      <c r="J334" s="410"/>
      <c r="K334" s="410"/>
      <c r="L334" s="410"/>
      <c r="M334" s="410"/>
      <c r="N334" s="410"/>
      <c r="O334" s="410"/>
      <c r="P334" s="410"/>
      <c r="Q334" s="410"/>
      <c r="R334" s="410"/>
      <c r="S334" s="410"/>
      <c r="T334" s="410"/>
      <c r="U334" s="410"/>
      <c r="V334" s="410"/>
      <c r="W334" s="353"/>
    </row>
    <row r="335" spans="1:23" s="354" customFormat="1" ht="23.1" customHeight="1">
      <c r="A335" s="409"/>
      <c r="B335" s="409"/>
      <c r="C335" s="410"/>
      <c r="D335" s="410"/>
      <c r="E335" s="410"/>
      <c r="F335" s="410"/>
      <c r="G335" s="410"/>
      <c r="H335" s="410"/>
      <c r="I335" s="410"/>
      <c r="J335" s="410"/>
      <c r="K335" s="410"/>
      <c r="L335" s="410"/>
      <c r="M335" s="410"/>
      <c r="N335" s="410"/>
      <c r="O335" s="410"/>
      <c r="P335" s="410"/>
      <c r="Q335" s="410"/>
      <c r="R335" s="410"/>
      <c r="S335" s="410"/>
      <c r="T335" s="410"/>
      <c r="U335" s="410"/>
      <c r="V335" s="410"/>
      <c r="W335" s="353"/>
    </row>
    <row r="336" spans="1:23" s="354" customFormat="1" ht="23.1" customHeight="1">
      <c r="A336" s="409"/>
      <c r="B336" s="409"/>
      <c r="C336" s="410"/>
      <c r="D336" s="410"/>
      <c r="E336" s="410"/>
      <c r="F336" s="410"/>
      <c r="G336" s="410"/>
      <c r="H336" s="410"/>
      <c r="I336" s="410"/>
      <c r="J336" s="410"/>
      <c r="K336" s="410"/>
      <c r="L336" s="410"/>
      <c r="M336" s="410"/>
      <c r="N336" s="410"/>
      <c r="O336" s="410"/>
      <c r="P336" s="410"/>
      <c r="Q336" s="410"/>
      <c r="R336" s="410"/>
      <c r="S336" s="410"/>
      <c r="T336" s="410"/>
      <c r="U336" s="410"/>
      <c r="V336" s="410"/>
      <c r="W336" s="353"/>
    </row>
    <row r="337" spans="1:23" s="354" customFormat="1" ht="23.1" customHeight="1">
      <c r="A337" s="409"/>
      <c r="B337" s="409"/>
      <c r="C337" s="410"/>
      <c r="D337" s="410"/>
      <c r="E337" s="410"/>
      <c r="F337" s="410"/>
      <c r="G337" s="410"/>
      <c r="H337" s="410"/>
      <c r="I337" s="410"/>
      <c r="J337" s="410"/>
      <c r="K337" s="410"/>
      <c r="L337" s="410"/>
      <c r="M337" s="410"/>
      <c r="N337" s="410"/>
      <c r="O337" s="410"/>
      <c r="P337" s="410"/>
      <c r="Q337" s="410"/>
      <c r="R337" s="410"/>
      <c r="S337" s="410"/>
      <c r="T337" s="410"/>
      <c r="U337" s="410"/>
      <c r="V337" s="410"/>
      <c r="W337" s="353"/>
    </row>
    <row r="338" spans="1:23" s="354" customFormat="1" ht="23.1" customHeight="1">
      <c r="A338" s="409"/>
      <c r="B338" s="409"/>
      <c r="C338" s="410"/>
      <c r="D338" s="410"/>
      <c r="E338" s="410"/>
      <c r="F338" s="410"/>
      <c r="G338" s="410"/>
      <c r="H338" s="410"/>
      <c r="I338" s="410"/>
      <c r="J338" s="410"/>
      <c r="K338" s="410"/>
      <c r="L338" s="410"/>
      <c r="M338" s="410"/>
      <c r="N338" s="410"/>
      <c r="O338" s="410"/>
      <c r="P338" s="410"/>
      <c r="Q338" s="410"/>
      <c r="R338" s="410"/>
      <c r="S338" s="410"/>
      <c r="T338" s="410"/>
      <c r="U338" s="410"/>
      <c r="V338" s="410"/>
      <c r="W338" s="353"/>
    </row>
    <row r="339" spans="1:23" s="354" customFormat="1" ht="23.1" customHeight="1">
      <c r="A339" s="409"/>
      <c r="B339" s="409"/>
      <c r="C339" s="410"/>
      <c r="D339" s="410"/>
      <c r="E339" s="410"/>
      <c r="F339" s="410"/>
      <c r="G339" s="410"/>
      <c r="H339" s="410"/>
      <c r="I339" s="410"/>
      <c r="J339" s="410"/>
      <c r="K339" s="410"/>
      <c r="L339" s="410"/>
      <c r="M339" s="410"/>
      <c r="N339" s="410"/>
      <c r="O339" s="410"/>
      <c r="P339" s="410"/>
      <c r="Q339" s="410"/>
      <c r="R339" s="410"/>
      <c r="S339" s="410"/>
      <c r="T339" s="410"/>
      <c r="U339" s="410"/>
      <c r="V339" s="410"/>
      <c r="W339" s="353"/>
    </row>
    <row r="340" spans="1:23" s="354" customFormat="1" ht="23.1" customHeight="1">
      <c r="A340" s="409"/>
      <c r="B340" s="409"/>
      <c r="C340" s="410"/>
      <c r="D340" s="410"/>
      <c r="E340" s="410"/>
      <c r="F340" s="410"/>
      <c r="G340" s="410"/>
      <c r="H340" s="410"/>
      <c r="I340" s="410"/>
      <c r="J340" s="410"/>
      <c r="K340" s="410"/>
      <c r="L340" s="410"/>
      <c r="M340" s="410"/>
      <c r="N340" s="410"/>
      <c r="O340" s="410"/>
      <c r="P340" s="410"/>
      <c r="Q340" s="410"/>
      <c r="R340" s="410"/>
      <c r="S340" s="410"/>
      <c r="T340" s="410"/>
      <c r="U340" s="410"/>
      <c r="V340" s="410"/>
      <c r="W340" s="353"/>
    </row>
    <row r="341" spans="1:23" s="354" customFormat="1" ht="23.1" customHeight="1">
      <c r="A341" s="409"/>
      <c r="B341" s="409"/>
      <c r="C341" s="410"/>
      <c r="D341" s="410"/>
      <c r="E341" s="410"/>
      <c r="F341" s="410"/>
      <c r="G341" s="410"/>
      <c r="H341" s="410"/>
      <c r="I341" s="410"/>
      <c r="J341" s="410"/>
      <c r="K341" s="410"/>
      <c r="L341" s="410"/>
      <c r="M341" s="410"/>
      <c r="N341" s="410"/>
      <c r="O341" s="410"/>
      <c r="P341" s="410"/>
      <c r="Q341" s="410"/>
      <c r="R341" s="410"/>
      <c r="S341" s="410"/>
      <c r="T341" s="410"/>
      <c r="U341" s="410"/>
      <c r="V341" s="410"/>
      <c r="W341" s="353"/>
    </row>
    <row r="342" spans="1:23" s="354" customFormat="1" ht="23.1" customHeight="1">
      <c r="A342" s="409"/>
      <c r="B342" s="409"/>
      <c r="C342" s="410"/>
      <c r="D342" s="410"/>
      <c r="E342" s="410"/>
      <c r="F342" s="410"/>
      <c r="G342" s="410"/>
      <c r="H342" s="410"/>
      <c r="I342" s="410"/>
      <c r="J342" s="410"/>
      <c r="K342" s="410"/>
      <c r="L342" s="410"/>
      <c r="M342" s="410"/>
      <c r="N342" s="410"/>
      <c r="O342" s="410"/>
      <c r="P342" s="410"/>
      <c r="Q342" s="410"/>
      <c r="R342" s="410"/>
      <c r="S342" s="410"/>
      <c r="T342" s="410"/>
      <c r="U342" s="410"/>
      <c r="V342" s="410"/>
      <c r="W342" s="353"/>
    </row>
    <row r="343" spans="1:23" s="354" customFormat="1" ht="23.1" customHeight="1">
      <c r="A343" s="409"/>
      <c r="B343" s="409"/>
      <c r="C343" s="410"/>
      <c r="D343" s="410"/>
      <c r="E343" s="410"/>
      <c r="F343" s="410"/>
      <c r="G343" s="410"/>
      <c r="H343" s="410"/>
      <c r="I343" s="410"/>
      <c r="J343" s="410"/>
      <c r="K343" s="410"/>
      <c r="L343" s="410"/>
      <c r="M343" s="410"/>
      <c r="N343" s="410"/>
      <c r="O343" s="410"/>
      <c r="P343" s="410"/>
      <c r="Q343" s="410"/>
      <c r="R343" s="410"/>
      <c r="S343" s="410"/>
      <c r="T343" s="410"/>
      <c r="U343" s="410"/>
      <c r="V343" s="410"/>
      <c r="W343" s="353"/>
    </row>
    <row r="344" spans="1:23" s="354" customFormat="1" ht="23.1" customHeight="1">
      <c r="A344" s="409"/>
      <c r="B344" s="409"/>
      <c r="C344" s="410"/>
      <c r="D344" s="410"/>
      <c r="E344" s="410"/>
      <c r="F344" s="410"/>
      <c r="G344" s="410"/>
      <c r="H344" s="410"/>
      <c r="I344" s="410"/>
      <c r="J344" s="410"/>
      <c r="K344" s="410"/>
      <c r="L344" s="410"/>
      <c r="M344" s="410"/>
      <c r="N344" s="410"/>
      <c r="O344" s="410"/>
      <c r="P344" s="410"/>
      <c r="Q344" s="410"/>
      <c r="R344" s="410"/>
      <c r="S344" s="410"/>
      <c r="T344" s="410"/>
      <c r="U344" s="410"/>
      <c r="V344" s="410"/>
      <c r="W344" s="353"/>
    </row>
    <row r="345" spans="1:23" s="354" customFormat="1" ht="23.1" customHeight="1">
      <c r="A345" s="409"/>
      <c r="B345" s="409"/>
      <c r="C345" s="410"/>
      <c r="D345" s="410"/>
      <c r="E345" s="410"/>
      <c r="F345" s="410"/>
      <c r="G345" s="410"/>
      <c r="H345" s="410"/>
      <c r="I345" s="410"/>
      <c r="J345" s="410"/>
      <c r="K345" s="410"/>
      <c r="L345" s="410"/>
      <c r="M345" s="410"/>
      <c r="N345" s="410"/>
      <c r="O345" s="410"/>
      <c r="P345" s="410"/>
      <c r="Q345" s="410"/>
      <c r="R345" s="410"/>
      <c r="S345" s="410"/>
      <c r="T345" s="410"/>
      <c r="U345" s="410"/>
      <c r="V345" s="410"/>
      <c r="W345" s="353"/>
    </row>
    <row r="346" spans="1:23" s="354" customFormat="1" ht="23.1" customHeight="1">
      <c r="A346" s="409"/>
      <c r="B346" s="409"/>
      <c r="C346" s="410"/>
      <c r="D346" s="410"/>
      <c r="E346" s="410"/>
      <c r="F346" s="410"/>
      <c r="G346" s="410"/>
      <c r="H346" s="410"/>
      <c r="I346" s="410"/>
      <c r="J346" s="410"/>
      <c r="K346" s="410"/>
      <c r="L346" s="410"/>
      <c r="M346" s="410"/>
      <c r="N346" s="410"/>
      <c r="O346" s="410"/>
      <c r="P346" s="410"/>
      <c r="Q346" s="410"/>
      <c r="R346" s="410"/>
      <c r="S346" s="410"/>
      <c r="T346" s="410"/>
      <c r="U346" s="410"/>
      <c r="V346" s="410"/>
      <c r="W346" s="353"/>
    </row>
    <row r="347" spans="1:23" s="354" customFormat="1" ht="23.1" customHeight="1">
      <c r="A347" s="409"/>
      <c r="B347" s="409"/>
      <c r="C347" s="410"/>
      <c r="D347" s="410"/>
      <c r="E347" s="410"/>
      <c r="F347" s="410"/>
      <c r="G347" s="410"/>
      <c r="H347" s="410"/>
      <c r="I347" s="410"/>
      <c r="J347" s="410"/>
      <c r="K347" s="410"/>
      <c r="L347" s="410"/>
      <c r="M347" s="410"/>
      <c r="N347" s="410"/>
      <c r="O347" s="410"/>
      <c r="P347" s="410"/>
      <c r="Q347" s="410"/>
      <c r="R347" s="410"/>
      <c r="S347" s="410"/>
      <c r="T347" s="410"/>
      <c r="U347" s="410"/>
      <c r="V347" s="410"/>
      <c r="W347" s="353"/>
    </row>
    <row r="348" spans="1:23" s="354" customFormat="1" ht="23.1" customHeight="1">
      <c r="A348" s="409"/>
      <c r="B348" s="409"/>
      <c r="C348" s="410"/>
      <c r="D348" s="410"/>
      <c r="E348" s="410"/>
      <c r="F348" s="410"/>
      <c r="G348" s="410"/>
      <c r="H348" s="410"/>
      <c r="I348" s="410"/>
      <c r="J348" s="410"/>
      <c r="K348" s="410"/>
      <c r="L348" s="410"/>
      <c r="M348" s="410"/>
      <c r="N348" s="410"/>
      <c r="O348" s="410"/>
      <c r="P348" s="410"/>
      <c r="Q348" s="410"/>
      <c r="R348" s="410"/>
      <c r="S348" s="410"/>
      <c r="T348" s="410"/>
      <c r="U348" s="410"/>
      <c r="V348" s="410"/>
      <c r="W348" s="353"/>
    </row>
    <row r="349" spans="1:23" s="354" customFormat="1" ht="23.1" customHeight="1">
      <c r="A349" s="409"/>
      <c r="B349" s="409"/>
      <c r="C349" s="410"/>
      <c r="D349" s="410"/>
      <c r="E349" s="410"/>
      <c r="F349" s="410"/>
      <c r="G349" s="410"/>
      <c r="H349" s="410"/>
      <c r="I349" s="410"/>
      <c r="J349" s="410"/>
      <c r="K349" s="410"/>
      <c r="L349" s="410"/>
      <c r="M349" s="410"/>
      <c r="N349" s="410"/>
      <c r="O349" s="410"/>
      <c r="P349" s="410"/>
      <c r="Q349" s="410"/>
      <c r="R349" s="410"/>
      <c r="S349" s="410"/>
      <c r="T349" s="410"/>
      <c r="U349" s="410"/>
      <c r="V349" s="410"/>
      <c r="W349" s="353"/>
    </row>
    <row r="350" spans="1:23" s="354" customFormat="1" ht="23.1" customHeight="1">
      <c r="A350" s="409"/>
      <c r="B350" s="409"/>
      <c r="C350" s="410"/>
      <c r="D350" s="410"/>
      <c r="E350" s="410"/>
      <c r="F350" s="410"/>
      <c r="G350" s="410"/>
      <c r="H350" s="410"/>
      <c r="I350" s="410"/>
      <c r="J350" s="410"/>
      <c r="K350" s="410"/>
      <c r="L350" s="410"/>
      <c r="M350" s="410"/>
      <c r="N350" s="410"/>
      <c r="O350" s="410"/>
      <c r="P350" s="410"/>
      <c r="Q350" s="410"/>
      <c r="R350" s="410"/>
      <c r="S350" s="410"/>
      <c r="T350" s="410"/>
      <c r="U350" s="410"/>
      <c r="V350" s="410"/>
      <c r="W350" s="353"/>
    </row>
    <row r="351" spans="1:23" s="354" customFormat="1" ht="23.1" customHeight="1">
      <c r="A351" s="409"/>
      <c r="B351" s="409"/>
      <c r="C351" s="410"/>
      <c r="D351" s="410"/>
      <c r="E351" s="410"/>
      <c r="F351" s="410"/>
      <c r="G351" s="410"/>
      <c r="H351" s="410"/>
      <c r="I351" s="410"/>
      <c r="J351" s="410"/>
      <c r="K351" s="410"/>
      <c r="L351" s="410"/>
      <c r="M351" s="410"/>
      <c r="N351" s="410"/>
      <c r="O351" s="410"/>
      <c r="P351" s="410"/>
      <c r="Q351" s="410"/>
      <c r="R351" s="410"/>
      <c r="S351" s="410"/>
      <c r="T351" s="410"/>
      <c r="U351" s="410"/>
      <c r="V351" s="410"/>
      <c r="W351" s="353"/>
    </row>
    <row r="352" spans="1:23" s="354" customFormat="1" ht="23.1" customHeight="1">
      <c r="A352" s="409"/>
      <c r="B352" s="409"/>
      <c r="C352" s="410"/>
      <c r="D352" s="410"/>
      <c r="E352" s="410"/>
      <c r="F352" s="410"/>
      <c r="G352" s="410"/>
      <c r="H352" s="410"/>
      <c r="I352" s="410"/>
      <c r="J352" s="410"/>
      <c r="K352" s="410"/>
      <c r="L352" s="410"/>
      <c r="M352" s="410"/>
      <c r="N352" s="410"/>
      <c r="O352" s="410"/>
      <c r="P352" s="410"/>
      <c r="Q352" s="410"/>
      <c r="R352" s="410"/>
      <c r="S352" s="410"/>
      <c r="T352" s="410"/>
      <c r="U352" s="410"/>
      <c r="V352" s="410"/>
      <c r="W352" s="353"/>
    </row>
    <row r="353" spans="1:23" s="352" customFormat="1" ht="20.100000000000001" customHeight="1">
      <c r="A353" s="409"/>
      <c r="B353" s="409"/>
      <c r="C353" s="410"/>
      <c r="D353" s="410"/>
      <c r="E353" s="410"/>
      <c r="F353" s="410"/>
      <c r="G353" s="410"/>
      <c r="H353" s="410"/>
      <c r="I353" s="410"/>
      <c r="J353" s="410"/>
      <c r="K353" s="410"/>
      <c r="L353" s="410"/>
      <c r="M353" s="410"/>
      <c r="N353" s="410"/>
      <c r="O353" s="410"/>
      <c r="P353" s="410"/>
      <c r="Q353" s="410"/>
      <c r="R353" s="410"/>
      <c r="S353" s="410"/>
      <c r="T353" s="410"/>
      <c r="U353" s="410"/>
      <c r="V353" s="410"/>
    </row>
    <row r="354" spans="1:23" s="352" customFormat="1" ht="9.9499999999999993" customHeight="1">
      <c r="A354" s="409"/>
      <c r="B354" s="409"/>
      <c r="C354" s="410"/>
      <c r="D354" s="410"/>
      <c r="E354" s="410"/>
      <c r="F354" s="410"/>
      <c r="G354" s="410"/>
      <c r="H354" s="410"/>
      <c r="I354" s="410"/>
      <c r="J354" s="410"/>
      <c r="K354" s="410"/>
      <c r="L354" s="410"/>
      <c r="M354" s="410"/>
      <c r="N354" s="410"/>
      <c r="O354" s="410"/>
      <c r="P354" s="410"/>
      <c r="Q354" s="410"/>
      <c r="R354" s="410"/>
      <c r="S354" s="410"/>
      <c r="T354" s="410"/>
      <c r="U354" s="410"/>
      <c r="V354" s="410"/>
    </row>
    <row r="355" spans="1:23" s="354" customFormat="1" ht="27.95" customHeight="1">
      <c r="A355" s="409"/>
      <c r="B355" s="409"/>
      <c r="C355" s="410"/>
      <c r="D355" s="410"/>
      <c r="E355" s="410"/>
      <c r="F355" s="410"/>
      <c r="G355" s="410"/>
      <c r="H355" s="410"/>
      <c r="I355" s="410"/>
      <c r="J355" s="410"/>
      <c r="K355" s="410"/>
      <c r="L355" s="410"/>
      <c r="M355" s="410"/>
      <c r="N355" s="410"/>
      <c r="O355" s="410"/>
      <c r="P355" s="410"/>
      <c r="Q355" s="410"/>
      <c r="R355" s="410"/>
      <c r="S355" s="410"/>
      <c r="T355" s="410"/>
      <c r="U355" s="410"/>
      <c r="V355" s="410"/>
      <c r="W355" s="353"/>
    </row>
    <row r="356" spans="1:23" s="354" customFormat="1" ht="27.95" customHeight="1">
      <c r="A356" s="409"/>
      <c r="B356" s="409"/>
      <c r="C356" s="410"/>
      <c r="D356" s="410"/>
      <c r="E356" s="410"/>
      <c r="F356" s="410"/>
      <c r="G356" s="410"/>
      <c r="H356" s="410"/>
      <c r="I356" s="410"/>
      <c r="J356" s="410"/>
      <c r="K356" s="410"/>
      <c r="L356" s="410"/>
      <c r="M356" s="410"/>
      <c r="N356" s="410"/>
      <c r="O356" s="410"/>
      <c r="P356" s="410"/>
      <c r="Q356" s="410"/>
      <c r="R356" s="410"/>
      <c r="S356" s="410"/>
      <c r="T356" s="410"/>
      <c r="U356" s="410"/>
      <c r="V356" s="410"/>
      <c r="W356" s="353"/>
    </row>
    <row r="357" spans="1:23" s="354" customFormat="1" ht="23.1" customHeight="1">
      <c r="A357" s="409"/>
      <c r="B357" s="409"/>
      <c r="C357" s="410"/>
      <c r="D357" s="410"/>
      <c r="E357" s="410"/>
      <c r="F357" s="410"/>
      <c r="G357" s="410"/>
      <c r="H357" s="410"/>
      <c r="I357" s="410"/>
      <c r="J357" s="410"/>
      <c r="K357" s="410"/>
      <c r="L357" s="410"/>
      <c r="M357" s="410"/>
      <c r="N357" s="410"/>
      <c r="O357" s="410"/>
      <c r="P357" s="410"/>
      <c r="Q357" s="410"/>
      <c r="R357" s="410"/>
      <c r="S357" s="410"/>
      <c r="T357" s="410"/>
      <c r="U357" s="410"/>
      <c r="V357" s="410"/>
      <c r="W357" s="353"/>
    </row>
    <row r="358" spans="1:23" s="354" customFormat="1" ht="23.1" customHeight="1">
      <c r="A358" s="409"/>
      <c r="B358" s="409"/>
      <c r="C358" s="410"/>
      <c r="D358" s="410"/>
      <c r="E358" s="410"/>
      <c r="F358" s="410"/>
      <c r="G358" s="410"/>
      <c r="H358" s="410"/>
      <c r="I358" s="410"/>
      <c r="J358" s="410"/>
      <c r="K358" s="410"/>
      <c r="L358" s="410"/>
      <c r="M358" s="410"/>
      <c r="N358" s="410"/>
      <c r="O358" s="410"/>
      <c r="P358" s="410"/>
      <c r="Q358" s="410"/>
      <c r="R358" s="410"/>
      <c r="S358" s="410"/>
      <c r="T358" s="410"/>
      <c r="U358" s="410"/>
      <c r="V358" s="410"/>
      <c r="W358" s="353"/>
    </row>
    <row r="359" spans="1:23" s="354" customFormat="1" ht="23.1" customHeight="1">
      <c r="A359" s="409"/>
      <c r="B359" s="409"/>
      <c r="C359" s="410"/>
      <c r="D359" s="410"/>
      <c r="E359" s="410"/>
      <c r="F359" s="410"/>
      <c r="G359" s="410"/>
      <c r="H359" s="410"/>
      <c r="I359" s="410"/>
      <c r="J359" s="410"/>
      <c r="K359" s="410"/>
      <c r="L359" s="410"/>
      <c r="M359" s="410"/>
      <c r="N359" s="410"/>
      <c r="O359" s="410"/>
      <c r="P359" s="410"/>
      <c r="Q359" s="410"/>
      <c r="R359" s="410"/>
      <c r="S359" s="410"/>
      <c r="T359" s="410"/>
      <c r="U359" s="410"/>
      <c r="V359" s="410"/>
      <c r="W359" s="353"/>
    </row>
    <row r="360" spans="1:23" s="354" customFormat="1" ht="23.1" customHeight="1">
      <c r="A360" s="409"/>
      <c r="B360" s="409"/>
      <c r="C360" s="410"/>
      <c r="D360" s="410"/>
      <c r="E360" s="410"/>
      <c r="F360" s="410"/>
      <c r="G360" s="410"/>
      <c r="H360" s="410"/>
      <c r="I360" s="410"/>
      <c r="J360" s="410"/>
      <c r="K360" s="410"/>
      <c r="L360" s="410"/>
      <c r="M360" s="410"/>
      <c r="N360" s="410"/>
      <c r="O360" s="410"/>
      <c r="P360" s="410"/>
      <c r="Q360" s="410"/>
      <c r="R360" s="410"/>
      <c r="S360" s="410"/>
      <c r="T360" s="410"/>
      <c r="U360" s="410"/>
      <c r="V360" s="410"/>
      <c r="W360" s="353"/>
    </row>
    <row r="361" spans="1:23" s="354" customFormat="1" ht="23.1" customHeight="1">
      <c r="A361" s="409"/>
      <c r="B361" s="409"/>
      <c r="C361" s="410"/>
      <c r="D361" s="410"/>
      <c r="E361" s="410"/>
      <c r="F361" s="410"/>
      <c r="G361" s="410"/>
      <c r="H361" s="410"/>
      <c r="I361" s="410"/>
      <c r="J361" s="410"/>
      <c r="K361" s="410"/>
      <c r="L361" s="410"/>
      <c r="M361" s="410"/>
      <c r="N361" s="410"/>
      <c r="O361" s="410"/>
      <c r="P361" s="410"/>
      <c r="Q361" s="410"/>
      <c r="R361" s="410"/>
      <c r="S361" s="410"/>
      <c r="T361" s="410"/>
      <c r="U361" s="410"/>
      <c r="V361" s="410"/>
      <c r="W361" s="353"/>
    </row>
    <row r="362" spans="1:23" s="354" customFormat="1" ht="23.1" customHeight="1">
      <c r="A362" s="409"/>
      <c r="B362" s="409"/>
      <c r="C362" s="410"/>
      <c r="D362" s="410"/>
      <c r="E362" s="410"/>
      <c r="F362" s="410"/>
      <c r="G362" s="410"/>
      <c r="H362" s="410"/>
      <c r="I362" s="410"/>
      <c r="J362" s="410"/>
      <c r="K362" s="410"/>
      <c r="L362" s="410"/>
      <c r="M362" s="410"/>
      <c r="N362" s="410"/>
      <c r="O362" s="410"/>
      <c r="P362" s="410"/>
      <c r="Q362" s="410"/>
      <c r="R362" s="410"/>
      <c r="S362" s="410"/>
      <c r="T362" s="410"/>
      <c r="U362" s="410"/>
      <c r="V362" s="410"/>
      <c r="W362" s="353"/>
    </row>
    <row r="363" spans="1:23" s="354" customFormat="1" ht="23.1" customHeight="1">
      <c r="A363" s="409"/>
      <c r="B363" s="409"/>
      <c r="C363" s="410"/>
      <c r="D363" s="410"/>
      <c r="E363" s="410"/>
      <c r="F363" s="410"/>
      <c r="G363" s="410"/>
      <c r="H363" s="410"/>
      <c r="I363" s="410"/>
      <c r="J363" s="410"/>
      <c r="K363" s="410"/>
      <c r="L363" s="410"/>
      <c r="M363" s="410"/>
      <c r="N363" s="410"/>
      <c r="O363" s="410"/>
      <c r="P363" s="410"/>
      <c r="Q363" s="410"/>
      <c r="R363" s="410"/>
      <c r="S363" s="410"/>
      <c r="T363" s="410"/>
      <c r="U363" s="410"/>
      <c r="V363" s="410"/>
      <c r="W363" s="353"/>
    </row>
    <row r="364" spans="1:23" s="354" customFormat="1" ht="23.1" customHeight="1">
      <c r="A364" s="409"/>
      <c r="B364" s="409"/>
      <c r="C364" s="410"/>
      <c r="D364" s="410"/>
      <c r="E364" s="410"/>
      <c r="F364" s="410"/>
      <c r="G364" s="410"/>
      <c r="H364" s="410"/>
      <c r="I364" s="410"/>
      <c r="J364" s="410"/>
      <c r="K364" s="410"/>
      <c r="L364" s="410"/>
      <c r="M364" s="410"/>
      <c r="N364" s="410"/>
      <c r="O364" s="410"/>
      <c r="P364" s="410"/>
      <c r="Q364" s="410"/>
      <c r="R364" s="410"/>
      <c r="S364" s="410"/>
      <c r="T364" s="410"/>
      <c r="U364" s="410"/>
      <c r="V364" s="410"/>
      <c r="W364" s="353"/>
    </row>
    <row r="365" spans="1:23" s="354" customFormat="1" ht="23.1" customHeight="1">
      <c r="A365" s="409"/>
      <c r="B365" s="409"/>
      <c r="C365" s="410"/>
      <c r="D365" s="410"/>
      <c r="E365" s="410"/>
      <c r="F365" s="410"/>
      <c r="G365" s="410"/>
      <c r="H365" s="410"/>
      <c r="I365" s="410"/>
      <c r="J365" s="410"/>
      <c r="K365" s="410"/>
      <c r="L365" s="410"/>
      <c r="M365" s="410"/>
      <c r="N365" s="410"/>
      <c r="O365" s="410"/>
      <c r="P365" s="410"/>
      <c r="Q365" s="410"/>
      <c r="R365" s="410"/>
      <c r="S365" s="410"/>
      <c r="T365" s="410"/>
      <c r="U365" s="410"/>
      <c r="V365" s="410"/>
      <c r="W365" s="353"/>
    </row>
    <row r="366" spans="1:23" s="354" customFormat="1" ht="23.1" customHeight="1">
      <c r="A366" s="409"/>
      <c r="B366" s="409"/>
      <c r="C366" s="410"/>
      <c r="D366" s="410"/>
      <c r="E366" s="410"/>
      <c r="F366" s="410"/>
      <c r="G366" s="410"/>
      <c r="H366" s="410"/>
      <c r="I366" s="410"/>
      <c r="J366" s="410"/>
      <c r="K366" s="410"/>
      <c r="L366" s="410"/>
      <c r="M366" s="410"/>
      <c r="N366" s="410"/>
      <c r="O366" s="410"/>
      <c r="P366" s="410"/>
      <c r="Q366" s="410"/>
      <c r="R366" s="410"/>
      <c r="S366" s="410"/>
      <c r="T366" s="410"/>
      <c r="U366" s="410"/>
      <c r="V366" s="410"/>
      <c r="W366" s="353"/>
    </row>
    <row r="367" spans="1:23" s="354" customFormat="1" ht="23.1" customHeight="1">
      <c r="A367" s="409"/>
      <c r="B367" s="409"/>
      <c r="C367" s="410"/>
      <c r="D367" s="410"/>
      <c r="E367" s="410"/>
      <c r="F367" s="410"/>
      <c r="G367" s="410"/>
      <c r="H367" s="410"/>
      <c r="I367" s="410"/>
      <c r="J367" s="410"/>
      <c r="K367" s="410"/>
      <c r="L367" s="410"/>
      <c r="M367" s="410"/>
      <c r="N367" s="410"/>
      <c r="O367" s="410"/>
      <c r="P367" s="410"/>
      <c r="Q367" s="410"/>
      <c r="R367" s="410"/>
      <c r="S367" s="410"/>
      <c r="T367" s="410"/>
      <c r="U367" s="410"/>
      <c r="V367" s="410"/>
      <c r="W367" s="353"/>
    </row>
    <row r="368" spans="1:23" s="354" customFormat="1" ht="23.1" customHeight="1">
      <c r="A368" s="409"/>
      <c r="B368" s="409"/>
      <c r="C368" s="410"/>
      <c r="D368" s="410"/>
      <c r="E368" s="410"/>
      <c r="F368" s="410"/>
      <c r="G368" s="410"/>
      <c r="H368" s="410"/>
      <c r="I368" s="410"/>
      <c r="J368" s="410"/>
      <c r="K368" s="410"/>
      <c r="L368" s="410"/>
      <c r="M368" s="410"/>
      <c r="N368" s="410"/>
      <c r="O368" s="410"/>
      <c r="P368" s="410"/>
      <c r="Q368" s="410"/>
      <c r="R368" s="410"/>
      <c r="S368" s="410"/>
      <c r="T368" s="410"/>
      <c r="U368" s="410"/>
      <c r="V368" s="410"/>
      <c r="W368" s="353"/>
    </row>
    <row r="369" spans="1:23" s="354" customFormat="1" ht="23.1" customHeight="1">
      <c r="A369" s="409"/>
      <c r="B369" s="409"/>
      <c r="C369" s="410"/>
      <c r="D369" s="410"/>
      <c r="E369" s="410"/>
      <c r="F369" s="410"/>
      <c r="G369" s="410"/>
      <c r="H369" s="410"/>
      <c r="I369" s="410"/>
      <c r="J369" s="410"/>
      <c r="K369" s="410"/>
      <c r="L369" s="410"/>
      <c r="M369" s="410"/>
      <c r="N369" s="410"/>
      <c r="O369" s="410"/>
      <c r="P369" s="410"/>
      <c r="Q369" s="410"/>
      <c r="R369" s="410"/>
      <c r="S369" s="410"/>
      <c r="T369" s="410"/>
      <c r="U369" s="410"/>
      <c r="V369" s="410"/>
      <c r="W369" s="353"/>
    </row>
    <row r="370" spans="1:23" s="354" customFormat="1" ht="23.1" customHeight="1">
      <c r="A370" s="409"/>
      <c r="B370" s="409"/>
      <c r="C370" s="410"/>
      <c r="D370" s="410"/>
      <c r="E370" s="410"/>
      <c r="F370" s="410"/>
      <c r="G370" s="410"/>
      <c r="H370" s="410"/>
      <c r="I370" s="410"/>
      <c r="J370" s="410"/>
      <c r="K370" s="410"/>
      <c r="L370" s="410"/>
      <c r="M370" s="410"/>
      <c r="N370" s="410"/>
      <c r="O370" s="410"/>
      <c r="P370" s="410"/>
      <c r="Q370" s="410"/>
      <c r="R370" s="410"/>
      <c r="S370" s="410"/>
      <c r="T370" s="410"/>
      <c r="U370" s="410"/>
      <c r="V370" s="410"/>
      <c r="W370" s="353"/>
    </row>
    <row r="371" spans="1:23" s="354" customFormat="1" ht="23.1" customHeight="1">
      <c r="A371" s="409"/>
      <c r="B371" s="409"/>
      <c r="C371" s="410"/>
      <c r="D371" s="410"/>
      <c r="E371" s="410"/>
      <c r="F371" s="410"/>
      <c r="G371" s="410"/>
      <c r="H371" s="410"/>
      <c r="I371" s="410"/>
      <c r="J371" s="410"/>
      <c r="K371" s="410"/>
      <c r="L371" s="410"/>
      <c r="M371" s="410"/>
      <c r="N371" s="410"/>
      <c r="O371" s="410"/>
      <c r="P371" s="410"/>
      <c r="Q371" s="410"/>
      <c r="R371" s="410"/>
      <c r="S371" s="410"/>
      <c r="T371" s="410"/>
      <c r="U371" s="410"/>
      <c r="V371" s="410"/>
      <c r="W371" s="353"/>
    </row>
    <row r="372" spans="1:23" s="354" customFormat="1" ht="23.1" customHeight="1">
      <c r="A372" s="409"/>
      <c r="B372" s="409"/>
      <c r="C372" s="410"/>
      <c r="D372" s="410"/>
      <c r="E372" s="410"/>
      <c r="F372" s="410"/>
      <c r="G372" s="410"/>
      <c r="H372" s="410"/>
      <c r="I372" s="410"/>
      <c r="J372" s="410"/>
      <c r="K372" s="410"/>
      <c r="L372" s="410"/>
      <c r="M372" s="410"/>
      <c r="N372" s="410"/>
      <c r="O372" s="410"/>
      <c r="P372" s="410"/>
      <c r="Q372" s="410"/>
      <c r="R372" s="410"/>
      <c r="S372" s="410"/>
      <c r="T372" s="410"/>
      <c r="U372" s="410"/>
      <c r="V372" s="410"/>
      <c r="W372" s="353"/>
    </row>
    <row r="373" spans="1:23" s="354" customFormat="1" ht="23.1" customHeight="1">
      <c r="A373" s="409"/>
      <c r="B373" s="409"/>
      <c r="C373" s="410"/>
      <c r="D373" s="410"/>
      <c r="E373" s="410"/>
      <c r="F373" s="410"/>
      <c r="G373" s="410"/>
      <c r="H373" s="410"/>
      <c r="I373" s="410"/>
      <c r="J373" s="410"/>
      <c r="K373" s="410"/>
      <c r="L373" s="410"/>
      <c r="M373" s="410"/>
      <c r="N373" s="410"/>
      <c r="O373" s="410"/>
      <c r="P373" s="410"/>
      <c r="Q373" s="410"/>
      <c r="R373" s="410"/>
      <c r="S373" s="410"/>
      <c r="T373" s="410"/>
      <c r="U373" s="410"/>
      <c r="V373" s="410"/>
      <c r="W373" s="353"/>
    </row>
    <row r="374" spans="1:23" s="354" customFormat="1" ht="23.1" customHeight="1">
      <c r="A374" s="409"/>
      <c r="B374" s="409"/>
      <c r="C374" s="410"/>
      <c r="D374" s="410"/>
      <c r="E374" s="410"/>
      <c r="F374" s="410"/>
      <c r="G374" s="410"/>
      <c r="H374" s="410"/>
      <c r="I374" s="410"/>
      <c r="J374" s="410"/>
      <c r="K374" s="410"/>
      <c r="L374" s="410"/>
      <c r="M374" s="410"/>
      <c r="N374" s="410"/>
      <c r="O374" s="410"/>
      <c r="P374" s="410"/>
      <c r="Q374" s="410"/>
      <c r="R374" s="410"/>
      <c r="S374" s="410"/>
      <c r="T374" s="410"/>
      <c r="U374" s="410"/>
      <c r="V374" s="410"/>
      <c r="W374" s="353"/>
    </row>
    <row r="375" spans="1:23" s="354" customFormat="1" ht="23.1" customHeight="1">
      <c r="A375" s="409"/>
      <c r="B375" s="409"/>
      <c r="C375" s="410"/>
      <c r="D375" s="410"/>
      <c r="E375" s="410"/>
      <c r="F375" s="410"/>
      <c r="G375" s="410"/>
      <c r="H375" s="410"/>
      <c r="I375" s="410"/>
      <c r="J375" s="410"/>
      <c r="K375" s="410"/>
      <c r="L375" s="410"/>
      <c r="M375" s="410"/>
      <c r="N375" s="410"/>
      <c r="O375" s="410"/>
      <c r="P375" s="410"/>
      <c r="Q375" s="410"/>
      <c r="R375" s="410"/>
      <c r="S375" s="410"/>
      <c r="T375" s="410"/>
      <c r="U375" s="410"/>
      <c r="V375" s="410"/>
      <c r="W375" s="353"/>
    </row>
    <row r="376" spans="1:23" s="354" customFormat="1" ht="23.1" customHeight="1">
      <c r="A376" s="409"/>
      <c r="B376" s="409"/>
      <c r="C376" s="410"/>
      <c r="D376" s="410"/>
      <c r="E376" s="410"/>
      <c r="F376" s="410"/>
      <c r="G376" s="410"/>
      <c r="H376" s="410"/>
      <c r="I376" s="410"/>
      <c r="J376" s="410"/>
      <c r="K376" s="410"/>
      <c r="L376" s="410"/>
      <c r="M376" s="410"/>
      <c r="N376" s="410"/>
      <c r="O376" s="410"/>
      <c r="P376" s="410"/>
      <c r="Q376" s="410"/>
      <c r="R376" s="410"/>
      <c r="S376" s="410"/>
      <c r="T376" s="410"/>
      <c r="U376" s="410"/>
      <c r="V376" s="410"/>
      <c r="W376" s="353"/>
    </row>
    <row r="377" spans="1:23" s="354" customFormat="1" ht="23.1" customHeight="1">
      <c r="A377" s="409"/>
      <c r="B377" s="409"/>
      <c r="C377" s="410"/>
      <c r="D377" s="410"/>
      <c r="E377" s="410"/>
      <c r="F377" s="410"/>
      <c r="G377" s="410"/>
      <c r="H377" s="410"/>
      <c r="I377" s="410"/>
      <c r="J377" s="410"/>
      <c r="K377" s="410"/>
      <c r="L377" s="410"/>
      <c r="M377" s="410"/>
      <c r="N377" s="410"/>
      <c r="O377" s="410"/>
      <c r="P377" s="410"/>
      <c r="Q377" s="410"/>
      <c r="R377" s="410"/>
      <c r="S377" s="410"/>
      <c r="T377" s="410"/>
      <c r="U377" s="410"/>
      <c r="V377" s="410"/>
      <c r="W377" s="353"/>
    </row>
    <row r="378" spans="1:23" s="354" customFormat="1" ht="23.1" customHeight="1">
      <c r="A378" s="409"/>
      <c r="B378" s="409"/>
      <c r="C378" s="410"/>
      <c r="D378" s="410"/>
      <c r="E378" s="410"/>
      <c r="F378" s="410"/>
      <c r="G378" s="410"/>
      <c r="H378" s="410"/>
      <c r="I378" s="410"/>
      <c r="J378" s="410"/>
      <c r="K378" s="410"/>
      <c r="L378" s="410"/>
      <c r="M378" s="410"/>
      <c r="N378" s="410"/>
      <c r="O378" s="410"/>
      <c r="P378" s="410"/>
      <c r="Q378" s="410"/>
      <c r="R378" s="410"/>
      <c r="S378" s="410"/>
      <c r="T378" s="410"/>
      <c r="U378" s="410"/>
      <c r="V378" s="410"/>
      <c r="W378" s="353"/>
    </row>
    <row r="379" spans="1:23" s="354" customFormat="1" ht="23.1" customHeight="1">
      <c r="A379" s="409"/>
      <c r="B379" s="409"/>
      <c r="C379" s="410"/>
      <c r="D379" s="410"/>
      <c r="E379" s="410"/>
      <c r="F379" s="410"/>
      <c r="G379" s="410"/>
      <c r="H379" s="410"/>
      <c r="I379" s="410"/>
      <c r="J379" s="410"/>
      <c r="K379" s="410"/>
      <c r="L379" s="410"/>
      <c r="M379" s="410"/>
      <c r="N379" s="410"/>
      <c r="O379" s="410"/>
      <c r="P379" s="410"/>
      <c r="Q379" s="410"/>
      <c r="R379" s="410"/>
      <c r="S379" s="410"/>
      <c r="T379" s="410"/>
      <c r="U379" s="410"/>
      <c r="V379" s="410"/>
      <c r="W379" s="353"/>
    </row>
    <row r="380" spans="1:23" s="354" customFormat="1" ht="23.1" customHeight="1">
      <c r="A380" s="409"/>
      <c r="B380" s="409"/>
      <c r="C380" s="410"/>
      <c r="D380" s="410"/>
      <c r="E380" s="410"/>
      <c r="F380" s="410"/>
      <c r="G380" s="410"/>
      <c r="H380" s="410"/>
      <c r="I380" s="410"/>
      <c r="J380" s="410"/>
      <c r="K380" s="410"/>
      <c r="L380" s="410"/>
      <c r="M380" s="410"/>
      <c r="N380" s="410"/>
      <c r="O380" s="410"/>
      <c r="P380" s="410"/>
      <c r="Q380" s="410"/>
      <c r="R380" s="410"/>
      <c r="S380" s="410"/>
      <c r="T380" s="410"/>
      <c r="U380" s="410"/>
      <c r="V380" s="410"/>
      <c r="W380" s="353"/>
    </row>
    <row r="381" spans="1:23" s="354" customFormat="1" ht="23.1" customHeight="1">
      <c r="A381" s="409"/>
      <c r="B381" s="409"/>
      <c r="C381" s="410"/>
      <c r="D381" s="410"/>
      <c r="E381" s="410"/>
      <c r="F381" s="410"/>
      <c r="G381" s="410"/>
      <c r="H381" s="410"/>
      <c r="I381" s="410"/>
      <c r="J381" s="410"/>
      <c r="K381" s="410"/>
      <c r="L381" s="410"/>
      <c r="M381" s="410"/>
      <c r="N381" s="410"/>
      <c r="O381" s="410"/>
      <c r="P381" s="410"/>
      <c r="Q381" s="410"/>
      <c r="R381" s="410"/>
      <c r="S381" s="410"/>
      <c r="T381" s="410"/>
      <c r="U381" s="410"/>
      <c r="V381" s="410"/>
      <c r="W381" s="353"/>
    </row>
    <row r="382" spans="1:23" s="354" customFormat="1" ht="23.1" customHeight="1">
      <c r="A382" s="409"/>
      <c r="B382" s="409"/>
      <c r="C382" s="410"/>
      <c r="D382" s="410"/>
      <c r="E382" s="410"/>
      <c r="F382" s="410"/>
      <c r="G382" s="410"/>
      <c r="H382" s="410"/>
      <c r="I382" s="410"/>
      <c r="J382" s="410"/>
      <c r="K382" s="410"/>
      <c r="L382" s="410"/>
      <c r="M382" s="410"/>
      <c r="N382" s="410"/>
      <c r="O382" s="410"/>
      <c r="P382" s="410"/>
      <c r="Q382" s="410"/>
      <c r="R382" s="410"/>
      <c r="S382" s="410"/>
      <c r="T382" s="410"/>
      <c r="U382" s="410"/>
      <c r="V382" s="410"/>
      <c r="W382" s="353"/>
    </row>
    <row r="383" spans="1:23" s="352" customFormat="1" ht="20.100000000000001" customHeight="1">
      <c r="A383" s="409"/>
      <c r="B383" s="409"/>
      <c r="C383" s="410"/>
      <c r="D383" s="410"/>
      <c r="E383" s="410"/>
      <c r="F383" s="410"/>
      <c r="G383" s="410"/>
      <c r="H383" s="410"/>
      <c r="I383" s="410"/>
      <c r="J383" s="410"/>
      <c r="K383" s="410"/>
      <c r="L383" s="410"/>
      <c r="M383" s="410"/>
      <c r="N383" s="410"/>
      <c r="O383" s="410"/>
      <c r="P383" s="410"/>
      <c r="Q383" s="410"/>
      <c r="R383" s="410"/>
      <c r="S383" s="410"/>
      <c r="T383" s="410"/>
      <c r="U383" s="410"/>
      <c r="V383" s="410"/>
    </row>
    <row r="384" spans="1:23" s="352" customFormat="1" ht="9.9499999999999993" customHeight="1">
      <c r="A384" s="409"/>
      <c r="B384" s="409"/>
      <c r="C384" s="410"/>
      <c r="D384" s="410"/>
      <c r="E384" s="410"/>
      <c r="F384" s="410"/>
      <c r="G384" s="410"/>
      <c r="H384" s="410"/>
      <c r="I384" s="410"/>
      <c r="J384" s="410"/>
      <c r="K384" s="410"/>
      <c r="L384" s="410"/>
      <c r="M384" s="410"/>
      <c r="N384" s="410"/>
      <c r="O384" s="410"/>
      <c r="P384" s="410"/>
      <c r="Q384" s="410"/>
      <c r="R384" s="410"/>
      <c r="S384" s="410"/>
      <c r="T384" s="410"/>
      <c r="U384" s="410"/>
      <c r="V384" s="410"/>
    </row>
    <row r="385" spans="1:23" s="354" customFormat="1" ht="27.95" customHeight="1">
      <c r="A385" s="409"/>
      <c r="B385" s="409"/>
      <c r="C385" s="410"/>
      <c r="D385" s="410"/>
      <c r="E385" s="410"/>
      <c r="F385" s="410"/>
      <c r="G385" s="410"/>
      <c r="H385" s="410"/>
      <c r="I385" s="410"/>
      <c r="J385" s="410"/>
      <c r="K385" s="410"/>
      <c r="L385" s="410"/>
      <c r="M385" s="410"/>
      <c r="N385" s="410"/>
      <c r="O385" s="410"/>
      <c r="P385" s="410"/>
      <c r="Q385" s="410"/>
      <c r="R385" s="410"/>
      <c r="S385" s="410"/>
      <c r="T385" s="410"/>
      <c r="U385" s="410"/>
      <c r="V385" s="410"/>
      <c r="W385" s="353"/>
    </row>
    <row r="386" spans="1:23" s="354" customFormat="1" ht="27.95" customHeight="1">
      <c r="A386" s="409"/>
      <c r="B386" s="409"/>
      <c r="C386" s="410"/>
      <c r="D386" s="410"/>
      <c r="E386" s="410"/>
      <c r="F386" s="410"/>
      <c r="G386" s="410"/>
      <c r="H386" s="410"/>
      <c r="I386" s="410"/>
      <c r="J386" s="410"/>
      <c r="K386" s="410"/>
      <c r="L386" s="410"/>
      <c r="M386" s="410"/>
      <c r="N386" s="410"/>
      <c r="O386" s="410"/>
      <c r="P386" s="410"/>
      <c r="Q386" s="410"/>
      <c r="R386" s="410"/>
      <c r="S386" s="410"/>
      <c r="T386" s="410"/>
      <c r="U386" s="410"/>
      <c r="V386" s="410"/>
      <c r="W386" s="353"/>
    </row>
    <row r="387" spans="1:23" s="354" customFormat="1" ht="23.1" customHeight="1">
      <c r="A387" s="409"/>
      <c r="B387" s="409"/>
      <c r="C387" s="410"/>
      <c r="D387" s="410"/>
      <c r="E387" s="410"/>
      <c r="F387" s="410"/>
      <c r="G387" s="410"/>
      <c r="H387" s="410"/>
      <c r="I387" s="410"/>
      <c r="J387" s="410"/>
      <c r="K387" s="410"/>
      <c r="L387" s="410"/>
      <c r="M387" s="410"/>
      <c r="N387" s="410"/>
      <c r="O387" s="410"/>
      <c r="P387" s="410"/>
      <c r="Q387" s="410"/>
      <c r="R387" s="410"/>
      <c r="S387" s="410"/>
      <c r="T387" s="410"/>
      <c r="U387" s="410"/>
      <c r="V387" s="410"/>
      <c r="W387" s="353"/>
    </row>
    <row r="388" spans="1:23" s="354" customFormat="1" ht="23.1" customHeight="1">
      <c r="A388" s="409"/>
      <c r="B388" s="409"/>
      <c r="C388" s="410"/>
      <c r="D388" s="410"/>
      <c r="E388" s="410"/>
      <c r="F388" s="410"/>
      <c r="G388" s="410"/>
      <c r="H388" s="410"/>
      <c r="I388" s="410"/>
      <c r="J388" s="410"/>
      <c r="K388" s="410"/>
      <c r="L388" s="410"/>
      <c r="M388" s="410"/>
      <c r="N388" s="410"/>
      <c r="O388" s="410"/>
      <c r="P388" s="410"/>
      <c r="Q388" s="410"/>
      <c r="R388" s="410"/>
      <c r="S388" s="410"/>
      <c r="T388" s="410"/>
      <c r="U388" s="410"/>
      <c r="V388" s="410"/>
      <c r="W388" s="353"/>
    </row>
    <row r="389" spans="1:23" s="354" customFormat="1" ht="23.1" customHeight="1">
      <c r="A389" s="409"/>
      <c r="B389" s="409"/>
      <c r="C389" s="410"/>
      <c r="D389" s="410"/>
      <c r="E389" s="410"/>
      <c r="F389" s="410"/>
      <c r="G389" s="410"/>
      <c r="H389" s="410"/>
      <c r="I389" s="410"/>
      <c r="J389" s="410"/>
      <c r="K389" s="410"/>
      <c r="L389" s="410"/>
      <c r="M389" s="410"/>
      <c r="N389" s="410"/>
      <c r="O389" s="410"/>
      <c r="P389" s="410"/>
      <c r="Q389" s="410"/>
      <c r="R389" s="410"/>
      <c r="S389" s="410"/>
      <c r="T389" s="410"/>
      <c r="U389" s="410"/>
      <c r="V389" s="410"/>
      <c r="W389" s="353"/>
    </row>
    <row r="390" spans="1:23" s="354" customFormat="1" ht="23.1" customHeight="1">
      <c r="A390" s="409"/>
      <c r="B390" s="409"/>
      <c r="C390" s="410"/>
      <c r="D390" s="410"/>
      <c r="E390" s="410"/>
      <c r="F390" s="410"/>
      <c r="G390" s="410"/>
      <c r="H390" s="410"/>
      <c r="I390" s="410"/>
      <c r="J390" s="410"/>
      <c r="K390" s="410"/>
      <c r="L390" s="410"/>
      <c r="M390" s="410"/>
      <c r="N390" s="410"/>
      <c r="O390" s="410"/>
      <c r="P390" s="410"/>
      <c r="Q390" s="410"/>
      <c r="R390" s="410"/>
      <c r="S390" s="410"/>
      <c r="T390" s="410"/>
      <c r="U390" s="410"/>
      <c r="V390" s="410"/>
      <c r="W390" s="353"/>
    </row>
    <row r="391" spans="1:23" s="354" customFormat="1" ht="23.1" customHeight="1">
      <c r="A391" s="409"/>
      <c r="B391" s="409"/>
      <c r="C391" s="410"/>
      <c r="D391" s="410"/>
      <c r="E391" s="410"/>
      <c r="F391" s="410"/>
      <c r="G391" s="410"/>
      <c r="H391" s="410"/>
      <c r="I391" s="410"/>
      <c r="J391" s="410"/>
      <c r="K391" s="410"/>
      <c r="L391" s="410"/>
      <c r="M391" s="410"/>
      <c r="N391" s="410"/>
      <c r="O391" s="410"/>
      <c r="P391" s="410"/>
      <c r="Q391" s="410"/>
      <c r="R391" s="410"/>
      <c r="S391" s="410"/>
      <c r="T391" s="410"/>
      <c r="U391" s="410"/>
      <c r="V391" s="410"/>
      <c r="W391" s="353"/>
    </row>
    <row r="392" spans="1:23" s="354" customFormat="1" ht="23.1" customHeight="1">
      <c r="A392" s="409"/>
      <c r="B392" s="409"/>
      <c r="C392" s="410"/>
      <c r="D392" s="410"/>
      <c r="E392" s="410"/>
      <c r="F392" s="410"/>
      <c r="G392" s="410"/>
      <c r="H392" s="410"/>
      <c r="I392" s="410"/>
      <c r="J392" s="410"/>
      <c r="K392" s="410"/>
      <c r="L392" s="410"/>
      <c r="M392" s="410"/>
      <c r="N392" s="410"/>
      <c r="O392" s="410"/>
      <c r="P392" s="410"/>
      <c r="Q392" s="410"/>
      <c r="R392" s="410"/>
      <c r="S392" s="410"/>
      <c r="T392" s="410"/>
      <c r="U392" s="410"/>
      <c r="V392" s="410"/>
      <c r="W392" s="353"/>
    </row>
    <row r="393" spans="1:23" s="354" customFormat="1" ht="23.1" customHeight="1">
      <c r="A393" s="409"/>
      <c r="B393" s="409"/>
      <c r="C393" s="410"/>
      <c r="D393" s="410"/>
      <c r="E393" s="410"/>
      <c r="F393" s="410"/>
      <c r="G393" s="410"/>
      <c r="H393" s="410"/>
      <c r="I393" s="410"/>
      <c r="J393" s="410"/>
      <c r="K393" s="410"/>
      <c r="L393" s="410"/>
      <c r="M393" s="410"/>
      <c r="N393" s="410"/>
      <c r="O393" s="410"/>
      <c r="P393" s="410"/>
      <c r="Q393" s="410"/>
      <c r="R393" s="410"/>
      <c r="S393" s="410"/>
      <c r="T393" s="410"/>
      <c r="U393" s="410"/>
      <c r="V393" s="410"/>
      <c r="W393" s="353"/>
    </row>
    <row r="394" spans="1:23" s="354" customFormat="1" ht="23.1" customHeight="1">
      <c r="A394" s="409"/>
      <c r="B394" s="409"/>
      <c r="C394" s="410"/>
      <c r="D394" s="410"/>
      <c r="E394" s="410"/>
      <c r="F394" s="410"/>
      <c r="G394" s="410"/>
      <c r="H394" s="410"/>
      <c r="I394" s="410"/>
      <c r="J394" s="410"/>
      <c r="K394" s="410"/>
      <c r="L394" s="410"/>
      <c r="M394" s="410"/>
      <c r="N394" s="410"/>
      <c r="O394" s="410"/>
      <c r="P394" s="410"/>
      <c r="Q394" s="410"/>
      <c r="R394" s="410"/>
      <c r="S394" s="410"/>
      <c r="T394" s="410"/>
      <c r="U394" s="410"/>
      <c r="V394" s="410"/>
      <c r="W394" s="353"/>
    </row>
    <row r="395" spans="1:23" s="354" customFormat="1" ht="23.1" customHeight="1">
      <c r="A395" s="409"/>
      <c r="B395" s="409"/>
      <c r="C395" s="410"/>
      <c r="D395" s="410"/>
      <c r="E395" s="410"/>
      <c r="F395" s="410"/>
      <c r="G395" s="410"/>
      <c r="H395" s="410"/>
      <c r="I395" s="410"/>
      <c r="J395" s="410"/>
      <c r="K395" s="410"/>
      <c r="L395" s="410"/>
      <c r="M395" s="410"/>
      <c r="N395" s="410"/>
      <c r="O395" s="410"/>
      <c r="P395" s="410"/>
      <c r="Q395" s="410"/>
      <c r="R395" s="410"/>
      <c r="S395" s="410"/>
      <c r="T395" s="410"/>
      <c r="U395" s="410"/>
      <c r="V395" s="410"/>
      <c r="W395" s="353"/>
    </row>
    <row r="396" spans="1:23" s="354" customFormat="1" ht="23.1" customHeight="1">
      <c r="A396" s="409"/>
      <c r="B396" s="409"/>
      <c r="C396" s="410"/>
      <c r="D396" s="410"/>
      <c r="E396" s="410"/>
      <c r="F396" s="410"/>
      <c r="G396" s="410"/>
      <c r="H396" s="410"/>
      <c r="I396" s="410"/>
      <c r="J396" s="410"/>
      <c r="K396" s="410"/>
      <c r="L396" s="410"/>
      <c r="M396" s="410"/>
      <c r="N396" s="410"/>
      <c r="O396" s="410"/>
      <c r="P396" s="410"/>
      <c r="Q396" s="410"/>
      <c r="R396" s="410"/>
      <c r="S396" s="410"/>
      <c r="T396" s="410"/>
      <c r="U396" s="410"/>
      <c r="V396" s="410"/>
      <c r="W396" s="353"/>
    </row>
    <row r="397" spans="1:23" s="354" customFormat="1" ht="23.1" customHeight="1">
      <c r="A397" s="409"/>
      <c r="B397" s="409"/>
      <c r="C397" s="410"/>
      <c r="D397" s="410"/>
      <c r="E397" s="410"/>
      <c r="F397" s="410"/>
      <c r="G397" s="410"/>
      <c r="H397" s="410"/>
      <c r="I397" s="410"/>
      <c r="J397" s="410"/>
      <c r="K397" s="410"/>
      <c r="L397" s="410"/>
      <c r="M397" s="410"/>
      <c r="N397" s="410"/>
      <c r="O397" s="410"/>
      <c r="P397" s="410"/>
      <c r="Q397" s="410"/>
      <c r="R397" s="410"/>
      <c r="S397" s="410"/>
      <c r="T397" s="410"/>
      <c r="U397" s="410"/>
      <c r="V397" s="410"/>
      <c r="W397" s="353"/>
    </row>
    <row r="398" spans="1:23" s="354" customFormat="1" ht="23.1" customHeight="1">
      <c r="A398" s="409"/>
      <c r="B398" s="409"/>
      <c r="C398" s="410"/>
      <c r="D398" s="410"/>
      <c r="E398" s="410"/>
      <c r="F398" s="410"/>
      <c r="G398" s="410"/>
      <c r="H398" s="410"/>
      <c r="I398" s="410"/>
      <c r="J398" s="410"/>
      <c r="K398" s="410"/>
      <c r="L398" s="410"/>
      <c r="M398" s="410"/>
      <c r="N398" s="410"/>
      <c r="O398" s="410"/>
      <c r="P398" s="410"/>
      <c r="Q398" s="410"/>
      <c r="R398" s="410"/>
      <c r="S398" s="410"/>
      <c r="T398" s="410"/>
      <c r="U398" s="410"/>
      <c r="V398" s="410"/>
      <c r="W398" s="353"/>
    </row>
    <row r="399" spans="1:23" s="354" customFormat="1" ht="23.1" customHeight="1">
      <c r="A399" s="409"/>
      <c r="B399" s="409"/>
      <c r="C399" s="410"/>
      <c r="D399" s="410"/>
      <c r="E399" s="410"/>
      <c r="F399" s="410"/>
      <c r="G399" s="410"/>
      <c r="H399" s="410"/>
      <c r="I399" s="410"/>
      <c r="J399" s="410"/>
      <c r="K399" s="410"/>
      <c r="L399" s="410"/>
      <c r="M399" s="410"/>
      <c r="N399" s="410"/>
      <c r="O399" s="410"/>
      <c r="P399" s="410"/>
      <c r="Q399" s="410"/>
      <c r="R399" s="410"/>
      <c r="S399" s="410"/>
      <c r="T399" s="410"/>
      <c r="U399" s="410"/>
      <c r="V399" s="410"/>
      <c r="W399" s="353"/>
    </row>
    <row r="400" spans="1:23" s="354" customFormat="1" ht="23.1" customHeight="1">
      <c r="A400" s="409"/>
      <c r="B400" s="409"/>
      <c r="C400" s="410"/>
      <c r="D400" s="410"/>
      <c r="E400" s="410"/>
      <c r="F400" s="410"/>
      <c r="G400" s="410"/>
      <c r="H400" s="410"/>
      <c r="I400" s="410"/>
      <c r="J400" s="410"/>
      <c r="K400" s="410"/>
      <c r="L400" s="410"/>
      <c r="M400" s="410"/>
      <c r="N400" s="410"/>
      <c r="O400" s="410"/>
      <c r="P400" s="410"/>
      <c r="Q400" s="410"/>
      <c r="R400" s="410"/>
      <c r="S400" s="410"/>
      <c r="T400" s="410"/>
      <c r="U400" s="410"/>
      <c r="V400" s="410"/>
      <c r="W400" s="353"/>
    </row>
    <row r="401" spans="1:23" s="354" customFormat="1" ht="23.1" customHeight="1">
      <c r="A401" s="409"/>
      <c r="B401" s="409"/>
      <c r="C401" s="410"/>
      <c r="D401" s="410"/>
      <c r="E401" s="410"/>
      <c r="F401" s="410"/>
      <c r="G401" s="410"/>
      <c r="H401" s="410"/>
      <c r="I401" s="410"/>
      <c r="J401" s="410"/>
      <c r="K401" s="410"/>
      <c r="L401" s="410"/>
      <c r="M401" s="410"/>
      <c r="N401" s="410"/>
      <c r="O401" s="410"/>
      <c r="P401" s="410"/>
      <c r="Q401" s="410"/>
      <c r="R401" s="410"/>
      <c r="S401" s="410"/>
      <c r="T401" s="410"/>
      <c r="U401" s="410"/>
      <c r="V401" s="410"/>
      <c r="W401" s="353"/>
    </row>
    <row r="402" spans="1:23" s="354" customFormat="1" ht="23.1" customHeight="1">
      <c r="A402" s="409"/>
      <c r="B402" s="409"/>
      <c r="C402" s="410"/>
      <c r="D402" s="410"/>
      <c r="E402" s="410"/>
      <c r="F402" s="410"/>
      <c r="G402" s="410"/>
      <c r="H402" s="410"/>
      <c r="I402" s="410"/>
      <c r="J402" s="410"/>
      <c r="K402" s="410"/>
      <c r="L402" s="410"/>
      <c r="M402" s="410"/>
      <c r="N402" s="410"/>
      <c r="O402" s="410"/>
      <c r="P402" s="410"/>
      <c r="Q402" s="410"/>
      <c r="R402" s="410"/>
      <c r="S402" s="410"/>
      <c r="T402" s="410"/>
      <c r="U402" s="410"/>
      <c r="V402" s="410"/>
      <c r="W402" s="353"/>
    </row>
    <row r="403" spans="1:23" s="354" customFormat="1" ht="23.1" customHeight="1">
      <c r="A403" s="409"/>
      <c r="B403" s="409"/>
      <c r="C403" s="410"/>
      <c r="D403" s="410"/>
      <c r="E403" s="410"/>
      <c r="F403" s="410"/>
      <c r="G403" s="410"/>
      <c r="H403" s="410"/>
      <c r="I403" s="410"/>
      <c r="J403" s="410"/>
      <c r="K403" s="410"/>
      <c r="L403" s="410"/>
      <c r="M403" s="410"/>
      <c r="N403" s="410"/>
      <c r="O403" s="410"/>
      <c r="P403" s="410"/>
      <c r="Q403" s="410"/>
      <c r="R403" s="410"/>
      <c r="S403" s="410"/>
      <c r="T403" s="410"/>
      <c r="U403" s="410"/>
      <c r="V403" s="410"/>
      <c r="W403" s="353"/>
    </row>
    <row r="404" spans="1:23" s="354" customFormat="1" ht="23.1" customHeight="1">
      <c r="A404" s="409"/>
      <c r="B404" s="409"/>
      <c r="C404" s="410"/>
      <c r="D404" s="410"/>
      <c r="E404" s="410"/>
      <c r="F404" s="410"/>
      <c r="G404" s="410"/>
      <c r="H404" s="410"/>
      <c r="I404" s="410"/>
      <c r="J404" s="410"/>
      <c r="K404" s="410"/>
      <c r="L404" s="410"/>
      <c r="M404" s="410"/>
      <c r="N404" s="410"/>
      <c r="O404" s="410"/>
      <c r="P404" s="410"/>
      <c r="Q404" s="410"/>
      <c r="R404" s="410"/>
      <c r="S404" s="410"/>
      <c r="T404" s="410"/>
      <c r="U404" s="410"/>
      <c r="V404" s="410"/>
      <c r="W404" s="353"/>
    </row>
    <row r="405" spans="1:23" s="354" customFormat="1" ht="23.1" customHeight="1">
      <c r="A405" s="409"/>
      <c r="B405" s="409"/>
      <c r="C405" s="410"/>
      <c r="D405" s="410"/>
      <c r="E405" s="410"/>
      <c r="F405" s="410"/>
      <c r="G405" s="410"/>
      <c r="H405" s="410"/>
      <c r="I405" s="410"/>
      <c r="J405" s="410"/>
      <c r="K405" s="410"/>
      <c r="L405" s="410"/>
      <c r="M405" s="410"/>
      <c r="N405" s="410"/>
      <c r="O405" s="410"/>
      <c r="P405" s="410"/>
      <c r="Q405" s="410"/>
      <c r="R405" s="410"/>
      <c r="S405" s="410"/>
      <c r="T405" s="410"/>
      <c r="U405" s="410"/>
      <c r="V405" s="410"/>
      <c r="W405" s="353"/>
    </row>
    <row r="406" spans="1:23" s="354" customFormat="1" ht="23.1" customHeight="1">
      <c r="A406" s="409"/>
      <c r="B406" s="409"/>
      <c r="C406" s="410"/>
      <c r="D406" s="410"/>
      <c r="E406" s="410"/>
      <c r="F406" s="410"/>
      <c r="G406" s="410"/>
      <c r="H406" s="410"/>
      <c r="I406" s="410"/>
      <c r="J406" s="410"/>
      <c r="K406" s="410"/>
      <c r="L406" s="410"/>
      <c r="M406" s="410"/>
      <c r="N406" s="410"/>
      <c r="O406" s="410"/>
      <c r="P406" s="410"/>
      <c r="Q406" s="410"/>
      <c r="R406" s="410"/>
      <c r="S406" s="410"/>
      <c r="T406" s="410"/>
      <c r="U406" s="410"/>
      <c r="V406" s="410"/>
      <c r="W406" s="353"/>
    </row>
    <row r="407" spans="1:23" s="354" customFormat="1" ht="23.1" customHeight="1">
      <c r="A407" s="409"/>
      <c r="B407" s="409"/>
      <c r="C407" s="410"/>
      <c r="D407" s="410"/>
      <c r="E407" s="410"/>
      <c r="F407" s="410"/>
      <c r="G407" s="410"/>
      <c r="H407" s="410"/>
      <c r="I407" s="410"/>
      <c r="J407" s="410"/>
      <c r="K407" s="410"/>
      <c r="L407" s="410"/>
      <c r="M407" s="410"/>
      <c r="N407" s="410"/>
      <c r="O407" s="410"/>
      <c r="P407" s="410"/>
      <c r="Q407" s="410"/>
      <c r="R407" s="410"/>
      <c r="S407" s="410"/>
      <c r="T407" s="410"/>
      <c r="U407" s="410"/>
      <c r="V407" s="410"/>
      <c r="W407" s="353"/>
    </row>
    <row r="408" spans="1:23" s="354" customFormat="1" ht="23.1" customHeight="1">
      <c r="A408" s="409"/>
      <c r="B408" s="409"/>
      <c r="C408" s="410"/>
      <c r="D408" s="410"/>
      <c r="E408" s="410"/>
      <c r="F408" s="410"/>
      <c r="G408" s="410"/>
      <c r="H408" s="410"/>
      <c r="I408" s="410"/>
      <c r="J408" s="410"/>
      <c r="K408" s="410"/>
      <c r="L408" s="410"/>
      <c r="M408" s="410"/>
      <c r="N408" s="410"/>
      <c r="O408" s="410"/>
      <c r="P408" s="410"/>
      <c r="Q408" s="410"/>
      <c r="R408" s="410"/>
      <c r="S408" s="410"/>
      <c r="T408" s="410"/>
      <c r="U408" s="410"/>
      <c r="V408" s="410"/>
      <c r="W408" s="353"/>
    </row>
    <row r="409" spans="1:23" s="354" customFormat="1" ht="23.1" customHeight="1">
      <c r="A409" s="409"/>
      <c r="B409" s="409"/>
      <c r="C409" s="410"/>
      <c r="D409" s="410"/>
      <c r="E409" s="410"/>
      <c r="F409" s="410"/>
      <c r="G409" s="410"/>
      <c r="H409" s="410"/>
      <c r="I409" s="410"/>
      <c r="J409" s="410"/>
      <c r="K409" s="410"/>
      <c r="L409" s="410"/>
      <c r="M409" s="410"/>
      <c r="N409" s="410"/>
      <c r="O409" s="410"/>
      <c r="P409" s="410"/>
      <c r="Q409" s="410"/>
      <c r="R409" s="410"/>
      <c r="S409" s="410"/>
      <c r="T409" s="410"/>
      <c r="U409" s="410"/>
      <c r="V409" s="410"/>
      <c r="W409" s="353"/>
    </row>
    <row r="410" spans="1:23" s="354" customFormat="1" ht="23.1" customHeight="1">
      <c r="A410" s="409"/>
      <c r="B410" s="409"/>
      <c r="C410" s="410"/>
      <c r="D410" s="410"/>
      <c r="E410" s="410"/>
      <c r="F410" s="410"/>
      <c r="G410" s="410"/>
      <c r="H410" s="410"/>
      <c r="I410" s="410"/>
      <c r="J410" s="410"/>
      <c r="K410" s="410"/>
      <c r="L410" s="410"/>
      <c r="M410" s="410"/>
      <c r="N410" s="410"/>
      <c r="O410" s="410"/>
      <c r="P410" s="410"/>
      <c r="Q410" s="410"/>
      <c r="R410" s="410"/>
      <c r="S410" s="410"/>
      <c r="T410" s="410"/>
      <c r="U410" s="410"/>
      <c r="V410" s="410"/>
      <c r="W410" s="353"/>
    </row>
    <row r="411" spans="1:23" s="354" customFormat="1" ht="23.1" customHeight="1">
      <c r="A411" s="409"/>
      <c r="B411" s="409"/>
      <c r="C411" s="410"/>
      <c r="D411" s="410"/>
      <c r="E411" s="410"/>
      <c r="F411" s="410"/>
      <c r="G411" s="410"/>
      <c r="H411" s="410"/>
      <c r="I411" s="410"/>
      <c r="J411" s="410"/>
      <c r="K411" s="410"/>
      <c r="L411" s="410"/>
      <c r="M411" s="410"/>
      <c r="N411" s="410"/>
      <c r="O411" s="410"/>
      <c r="P411" s="410"/>
      <c r="Q411" s="410"/>
      <c r="R411" s="410"/>
      <c r="S411" s="410"/>
      <c r="T411" s="410"/>
      <c r="U411" s="410"/>
      <c r="V411" s="410"/>
      <c r="W411" s="353"/>
    </row>
    <row r="412" spans="1:23" s="354" customFormat="1" ht="23.1" customHeight="1">
      <c r="A412" s="409"/>
      <c r="B412" s="409"/>
      <c r="C412" s="410"/>
      <c r="D412" s="410"/>
      <c r="E412" s="410"/>
      <c r="F412" s="410"/>
      <c r="G412" s="410"/>
      <c r="H412" s="410"/>
      <c r="I412" s="410"/>
      <c r="J412" s="410"/>
      <c r="K412" s="410"/>
      <c r="L412" s="410"/>
      <c r="M412" s="410"/>
      <c r="N412" s="410"/>
      <c r="O412" s="410"/>
      <c r="P412" s="410"/>
      <c r="Q412" s="410"/>
      <c r="R412" s="410"/>
      <c r="S412" s="410"/>
      <c r="T412" s="410"/>
      <c r="U412" s="410"/>
      <c r="V412" s="410"/>
      <c r="W412" s="353"/>
    </row>
    <row r="413" spans="1:23" s="352" customFormat="1" ht="20.100000000000001" customHeight="1">
      <c r="A413" s="409"/>
      <c r="B413" s="409"/>
      <c r="C413" s="410"/>
      <c r="D413" s="410"/>
      <c r="E413" s="410"/>
      <c r="F413" s="410"/>
      <c r="G413" s="410"/>
      <c r="H413" s="410"/>
      <c r="I413" s="410"/>
      <c r="J413" s="410"/>
      <c r="K413" s="410"/>
      <c r="L413" s="410"/>
      <c r="M413" s="410"/>
      <c r="N413" s="410"/>
      <c r="O413" s="410"/>
      <c r="P413" s="410"/>
      <c r="Q413" s="410"/>
      <c r="R413" s="410"/>
      <c r="S413" s="410"/>
      <c r="T413" s="410"/>
      <c r="U413" s="410"/>
      <c r="V413" s="410"/>
    </row>
    <row r="414" spans="1:23" s="352" customFormat="1" ht="9.9499999999999993" customHeight="1">
      <c r="A414" s="409"/>
      <c r="B414" s="409"/>
      <c r="C414" s="410"/>
      <c r="D414" s="410"/>
      <c r="E414" s="410"/>
      <c r="F414" s="410"/>
      <c r="G414" s="410"/>
      <c r="H414" s="410"/>
      <c r="I414" s="410"/>
      <c r="J414" s="410"/>
      <c r="K414" s="410"/>
      <c r="L414" s="410"/>
      <c r="M414" s="410"/>
      <c r="N414" s="410"/>
      <c r="O414" s="410"/>
      <c r="P414" s="410"/>
      <c r="Q414" s="410"/>
      <c r="R414" s="410"/>
      <c r="S414" s="410"/>
      <c r="T414" s="410"/>
      <c r="U414" s="410"/>
      <c r="V414" s="410"/>
    </row>
    <row r="415" spans="1:23" s="354" customFormat="1" ht="27.95" customHeight="1">
      <c r="A415" s="409"/>
      <c r="B415" s="409"/>
      <c r="C415" s="410"/>
      <c r="D415" s="410"/>
      <c r="E415" s="410"/>
      <c r="F415" s="410"/>
      <c r="G415" s="410"/>
      <c r="H415" s="410"/>
      <c r="I415" s="410"/>
      <c r="J415" s="410"/>
      <c r="K415" s="410"/>
      <c r="L415" s="410"/>
      <c r="M415" s="410"/>
      <c r="N415" s="410"/>
      <c r="O415" s="410"/>
      <c r="P415" s="410"/>
      <c r="Q415" s="410"/>
      <c r="R415" s="410"/>
      <c r="S415" s="410"/>
      <c r="T415" s="410"/>
      <c r="U415" s="410"/>
      <c r="V415" s="410"/>
      <c r="W415" s="353"/>
    </row>
    <row r="416" spans="1:23" s="354" customFormat="1" ht="27.95" customHeight="1">
      <c r="A416" s="409"/>
      <c r="B416" s="409"/>
      <c r="C416" s="410"/>
      <c r="D416" s="410"/>
      <c r="E416" s="410"/>
      <c r="F416" s="410"/>
      <c r="G416" s="410"/>
      <c r="H416" s="410"/>
      <c r="I416" s="410"/>
      <c r="J416" s="410"/>
      <c r="K416" s="410"/>
      <c r="L416" s="410"/>
      <c r="M416" s="410"/>
      <c r="N416" s="410"/>
      <c r="O416" s="410"/>
      <c r="P416" s="410"/>
      <c r="Q416" s="410"/>
      <c r="R416" s="410"/>
      <c r="S416" s="410"/>
      <c r="T416" s="410"/>
      <c r="U416" s="410"/>
      <c r="V416" s="410"/>
      <c r="W416" s="353"/>
    </row>
    <row r="417" spans="1:23" s="354" customFormat="1" ht="23.1" customHeight="1">
      <c r="A417" s="409"/>
      <c r="B417" s="409"/>
      <c r="C417" s="410"/>
      <c r="D417" s="410"/>
      <c r="E417" s="410"/>
      <c r="F417" s="410"/>
      <c r="G417" s="410"/>
      <c r="H417" s="410"/>
      <c r="I417" s="410"/>
      <c r="J417" s="410"/>
      <c r="K417" s="410"/>
      <c r="L417" s="410"/>
      <c r="M417" s="410"/>
      <c r="N417" s="410"/>
      <c r="O417" s="410"/>
      <c r="P417" s="410"/>
      <c r="Q417" s="410"/>
      <c r="R417" s="410"/>
      <c r="S417" s="410"/>
      <c r="T417" s="410"/>
      <c r="U417" s="410"/>
      <c r="V417" s="410"/>
      <c r="W417" s="353"/>
    </row>
    <row r="418" spans="1:23" s="354" customFormat="1" ht="23.1" customHeight="1">
      <c r="A418" s="409"/>
      <c r="B418" s="409"/>
      <c r="C418" s="410"/>
      <c r="D418" s="410"/>
      <c r="E418" s="410"/>
      <c r="F418" s="410"/>
      <c r="G418" s="410"/>
      <c r="H418" s="410"/>
      <c r="I418" s="410"/>
      <c r="J418" s="410"/>
      <c r="K418" s="410"/>
      <c r="L418" s="410"/>
      <c r="M418" s="410"/>
      <c r="N418" s="410"/>
      <c r="O418" s="410"/>
      <c r="P418" s="410"/>
      <c r="Q418" s="410"/>
      <c r="R418" s="410"/>
      <c r="S418" s="410"/>
      <c r="T418" s="410"/>
      <c r="U418" s="410"/>
      <c r="V418" s="410"/>
      <c r="W418" s="353"/>
    </row>
    <row r="419" spans="1:23" s="354" customFormat="1" ht="23.1" customHeight="1">
      <c r="A419" s="409"/>
      <c r="B419" s="409"/>
      <c r="C419" s="410"/>
      <c r="D419" s="410"/>
      <c r="E419" s="410"/>
      <c r="F419" s="410"/>
      <c r="G419" s="410"/>
      <c r="H419" s="410"/>
      <c r="I419" s="410"/>
      <c r="J419" s="410"/>
      <c r="K419" s="410"/>
      <c r="L419" s="410"/>
      <c r="M419" s="410"/>
      <c r="N419" s="410"/>
      <c r="O419" s="410"/>
      <c r="P419" s="410"/>
      <c r="Q419" s="410"/>
      <c r="R419" s="410"/>
      <c r="S419" s="410"/>
      <c r="T419" s="410"/>
      <c r="U419" s="410"/>
      <c r="V419" s="410"/>
      <c r="W419" s="353"/>
    </row>
    <row r="420" spans="1:23" s="354" customFormat="1" ht="23.1" customHeight="1">
      <c r="A420" s="409"/>
      <c r="B420" s="409"/>
      <c r="C420" s="410"/>
      <c r="D420" s="410"/>
      <c r="E420" s="410"/>
      <c r="F420" s="410"/>
      <c r="G420" s="410"/>
      <c r="H420" s="410"/>
      <c r="I420" s="410"/>
      <c r="J420" s="410"/>
      <c r="K420" s="410"/>
      <c r="L420" s="410"/>
      <c r="M420" s="410"/>
      <c r="N420" s="410"/>
      <c r="O420" s="410"/>
      <c r="P420" s="410"/>
      <c r="Q420" s="410"/>
      <c r="R420" s="410"/>
      <c r="S420" s="410"/>
      <c r="T420" s="410"/>
      <c r="U420" s="410"/>
      <c r="V420" s="410"/>
      <c r="W420" s="353"/>
    </row>
    <row r="421" spans="1:23" s="354" customFormat="1" ht="23.1" customHeight="1">
      <c r="A421" s="409"/>
      <c r="B421" s="409"/>
      <c r="C421" s="410"/>
      <c r="D421" s="410"/>
      <c r="E421" s="410"/>
      <c r="F421" s="410"/>
      <c r="G421" s="410"/>
      <c r="H421" s="410"/>
      <c r="I421" s="410"/>
      <c r="J421" s="410"/>
      <c r="K421" s="410"/>
      <c r="L421" s="410"/>
      <c r="M421" s="410"/>
      <c r="N421" s="410"/>
      <c r="O421" s="410"/>
      <c r="P421" s="410"/>
      <c r="Q421" s="410"/>
      <c r="R421" s="410"/>
      <c r="S421" s="410"/>
      <c r="T421" s="410"/>
      <c r="U421" s="410"/>
      <c r="V421" s="410"/>
      <c r="W421" s="353"/>
    </row>
    <row r="422" spans="1:23" s="354" customFormat="1" ht="23.1" customHeight="1">
      <c r="A422" s="409"/>
      <c r="B422" s="409"/>
      <c r="C422" s="410"/>
      <c r="D422" s="410"/>
      <c r="E422" s="410"/>
      <c r="F422" s="410"/>
      <c r="G422" s="410"/>
      <c r="H422" s="410"/>
      <c r="I422" s="410"/>
      <c r="J422" s="410"/>
      <c r="K422" s="410"/>
      <c r="L422" s="410"/>
      <c r="M422" s="410"/>
      <c r="N422" s="410"/>
      <c r="O422" s="410"/>
      <c r="P422" s="410"/>
      <c r="Q422" s="410"/>
      <c r="R422" s="410"/>
      <c r="S422" s="410"/>
      <c r="T422" s="410"/>
      <c r="U422" s="410"/>
      <c r="V422" s="410"/>
      <c r="W422" s="353"/>
    </row>
    <row r="423" spans="1:23" s="354" customFormat="1" ht="23.1" customHeight="1">
      <c r="A423" s="409"/>
      <c r="B423" s="409"/>
      <c r="C423" s="410"/>
      <c r="D423" s="410"/>
      <c r="E423" s="410"/>
      <c r="F423" s="410"/>
      <c r="G423" s="410"/>
      <c r="H423" s="410"/>
      <c r="I423" s="410"/>
      <c r="J423" s="410"/>
      <c r="K423" s="410"/>
      <c r="L423" s="410"/>
      <c r="M423" s="410"/>
      <c r="N423" s="410"/>
      <c r="O423" s="410"/>
      <c r="P423" s="410"/>
      <c r="Q423" s="410"/>
      <c r="R423" s="410"/>
      <c r="S423" s="410"/>
      <c r="T423" s="410"/>
      <c r="U423" s="410"/>
      <c r="V423" s="410"/>
      <c r="W423" s="353"/>
    </row>
    <row r="424" spans="1:23" s="354" customFormat="1" ht="23.1" customHeight="1">
      <c r="A424" s="409"/>
      <c r="B424" s="409"/>
      <c r="C424" s="410"/>
      <c r="D424" s="410"/>
      <c r="E424" s="410"/>
      <c r="F424" s="410"/>
      <c r="G424" s="410"/>
      <c r="H424" s="410"/>
      <c r="I424" s="410"/>
      <c r="J424" s="410"/>
      <c r="K424" s="410"/>
      <c r="L424" s="410"/>
      <c r="M424" s="410"/>
      <c r="N424" s="410"/>
      <c r="O424" s="410"/>
      <c r="P424" s="410"/>
      <c r="Q424" s="410"/>
      <c r="R424" s="410"/>
      <c r="S424" s="410"/>
      <c r="T424" s="410"/>
      <c r="U424" s="410"/>
      <c r="V424" s="410"/>
      <c r="W424" s="353"/>
    </row>
    <row r="425" spans="1:23" s="354" customFormat="1" ht="23.1" customHeight="1">
      <c r="A425" s="409"/>
      <c r="B425" s="409"/>
      <c r="C425" s="410"/>
      <c r="D425" s="410"/>
      <c r="E425" s="410"/>
      <c r="F425" s="410"/>
      <c r="G425" s="410"/>
      <c r="H425" s="410"/>
      <c r="I425" s="410"/>
      <c r="J425" s="410"/>
      <c r="K425" s="410"/>
      <c r="L425" s="410"/>
      <c r="M425" s="410"/>
      <c r="N425" s="410"/>
      <c r="O425" s="410"/>
      <c r="P425" s="410"/>
      <c r="Q425" s="410"/>
      <c r="R425" s="410"/>
      <c r="S425" s="410"/>
      <c r="T425" s="410"/>
      <c r="U425" s="410"/>
      <c r="V425" s="410"/>
      <c r="W425" s="353"/>
    </row>
    <row r="426" spans="1:23" s="354" customFormat="1" ht="23.1" customHeight="1">
      <c r="A426" s="409"/>
      <c r="B426" s="409"/>
      <c r="C426" s="410"/>
      <c r="D426" s="410"/>
      <c r="E426" s="410"/>
      <c r="F426" s="410"/>
      <c r="G426" s="410"/>
      <c r="H426" s="410"/>
      <c r="I426" s="410"/>
      <c r="J426" s="410"/>
      <c r="K426" s="410"/>
      <c r="L426" s="410"/>
      <c r="M426" s="410"/>
      <c r="N426" s="410"/>
      <c r="O426" s="410"/>
      <c r="P426" s="410"/>
      <c r="Q426" s="410"/>
      <c r="R426" s="410"/>
      <c r="S426" s="410"/>
      <c r="T426" s="410"/>
      <c r="U426" s="410"/>
      <c r="V426" s="410"/>
      <c r="W426" s="353"/>
    </row>
    <row r="427" spans="1:23" s="354" customFormat="1" ht="23.1" customHeight="1">
      <c r="A427" s="409"/>
      <c r="B427" s="409"/>
      <c r="C427" s="410"/>
      <c r="D427" s="410"/>
      <c r="E427" s="410"/>
      <c r="F427" s="410"/>
      <c r="G427" s="410"/>
      <c r="H427" s="410"/>
      <c r="I427" s="410"/>
      <c r="J427" s="410"/>
      <c r="K427" s="410"/>
      <c r="L427" s="410"/>
      <c r="M427" s="410"/>
      <c r="N427" s="410"/>
      <c r="O427" s="410"/>
      <c r="P427" s="410"/>
      <c r="Q427" s="410"/>
      <c r="R427" s="410"/>
      <c r="S427" s="410"/>
      <c r="T427" s="410"/>
      <c r="U427" s="410"/>
      <c r="V427" s="410"/>
      <c r="W427" s="353"/>
    </row>
    <row r="428" spans="1:23" s="354" customFormat="1" ht="23.1" customHeight="1">
      <c r="A428" s="409"/>
      <c r="B428" s="409"/>
      <c r="C428" s="410"/>
      <c r="D428" s="410"/>
      <c r="E428" s="410"/>
      <c r="F428" s="410"/>
      <c r="G428" s="410"/>
      <c r="H428" s="410"/>
      <c r="I428" s="410"/>
      <c r="J428" s="410"/>
      <c r="K428" s="410"/>
      <c r="L428" s="410"/>
      <c r="M428" s="410"/>
      <c r="N428" s="410"/>
      <c r="O428" s="410"/>
      <c r="P428" s="410"/>
      <c r="Q428" s="410"/>
      <c r="R428" s="410"/>
      <c r="S428" s="410"/>
      <c r="T428" s="410"/>
      <c r="U428" s="410"/>
      <c r="V428" s="410"/>
      <c r="W428" s="353"/>
    </row>
    <row r="429" spans="1:23" s="354" customFormat="1" ht="23.1" customHeight="1">
      <c r="A429" s="409"/>
      <c r="B429" s="409"/>
      <c r="C429" s="410"/>
      <c r="D429" s="410"/>
      <c r="E429" s="410"/>
      <c r="F429" s="410"/>
      <c r="G429" s="410"/>
      <c r="H429" s="410"/>
      <c r="I429" s="410"/>
      <c r="J429" s="410"/>
      <c r="K429" s="410"/>
      <c r="L429" s="410"/>
      <c r="M429" s="410"/>
      <c r="N429" s="410"/>
      <c r="O429" s="410"/>
      <c r="P429" s="410"/>
      <c r="Q429" s="410"/>
      <c r="R429" s="410"/>
      <c r="S429" s="410"/>
      <c r="T429" s="410"/>
      <c r="U429" s="410"/>
      <c r="V429" s="410"/>
      <c r="W429" s="353"/>
    </row>
    <row r="430" spans="1:23" s="354" customFormat="1" ht="23.1" customHeight="1">
      <c r="A430" s="409"/>
      <c r="B430" s="409"/>
      <c r="C430" s="410"/>
      <c r="D430" s="410"/>
      <c r="E430" s="410"/>
      <c r="F430" s="410"/>
      <c r="G430" s="410"/>
      <c r="H430" s="410"/>
      <c r="I430" s="410"/>
      <c r="J430" s="410"/>
      <c r="K430" s="410"/>
      <c r="L430" s="410"/>
      <c r="M430" s="410"/>
      <c r="N430" s="410"/>
      <c r="O430" s="410"/>
      <c r="P430" s="410"/>
      <c r="Q430" s="410"/>
      <c r="R430" s="410"/>
      <c r="S430" s="410"/>
      <c r="T430" s="410"/>
      <c r="U430" s="410"/>
      <c r="V430" s="410"/>
      <c r="W430" s="353"/>
    </row>
    <row r="431" spans="1:23" s="354" customFormat="1" ht="23.1" customHeight="1">
      <c r="A431" s="409"/>
      <c r="B431" s="409"/>
      <c r="C431" s="410"/>
      <c r="D431" s="410"/>
      <c r="E431" s="410"/>
      <c r="F431" s="410"/>
      <c r="G431" s="410"/>
      <c r="H431" s="410"/>
      <c r="I431" s="410"/>
      <c r="J431" s="410"/>
      <c r="K431" s="410"/>
      <c r="L431" s="410"/>
      <c r="M431" s="410"/>
      <c r="N431" s="410"/>
      <c r="O431" s="410"/>
      <c r="P431" s="410"/>
      <c r="Q431" s="410"/>
      <c r="R431" s="410"/>
      <c r="S431" s="410"/>
      <c r="T431" s="410"/>
      <c r="U431" s="410"/>
      <c r="V431" s="410"/>
      <c r="W431" s="353"/>
    </row>
    <row r="432" spans="1:23" s="354" customFormat="1" ht="23.1" customHeight="1">
      <c r="A432" s="409"/>
      <c r="B432" s="409"/>
      <c r="C432" s="410"/>
      <c r="D432" s="410"/>
      <c r="E432" s="410"/>
      <c r="F432" s="410"/>
      <c r="G432" s="410"/>
      <c r="H432" s="410"/>
      <c r="I432" s="410"/>
      <c r="J432" s="410"/>
      <c r="K432" s="410"/>
      <c r="L432" s="410"/>
      <c r="M432" s="410"/>
      <c r="N432" s="410"/>
      <c r="O432" s="410"/>
      <c r="P432" s="410"/>
      <c r="Q432" s="410"/>
      <c r="R432" s="410"/>
      <c r="S432" s="410"/>
      <c r="T432" s="410"/>
      <c r="U432" s="410"/>
      <c r="V432" s="410"/>
      <c r="W432" s="353"/>
    </row>
    <row r="433" spans="1:23" s="354" customFormat="1" ht="23.1" customHeight="1">
      <c r="A433" s="409"/>
      <c r="B433" s="409"/>
      <c r="C433" s="410"/>
      <c r="D433" s="410"/>
      <c r="E433" s="410"/>
      <c r="F433" s="410"/>
      <c r="G433" s="410"/>
      <c r="H433" s="410"/>
      <c r="I433" s="410"/>
      <c r="J433" s="410"/>
      <c r="K433" s="410"/>
      <c r="L433" s="410"/>
      <c r="M433" s="410"/>
      <c r="N433" s="410"/>
      <c r="O433" s="410"/>
      <c r="P433" s="410"/>
      <c r="Q433" s="410"/>
      <c r="R433" s="410"/>
      <c r="S433" s="410"/>
      <c r="T433" s="410"/>
      <c r="U433" s="410"/>
      <c r="V433" s="410"/>
      <c r="W433" s="353"/>
    </row>
    <row r="434" spans="1:23" s="354" customFormat="1" ht="23.1" customHeight="1">
      <c r="A434" s="409"/>
      <c r="B434" s="409"/>
      <c r="C434" s="410"/>
      <c r="D434" s="410"/>
      <c r="E434" s="410"/>
      <c r="F434" s="410"/>
      <c r="G434" s="410"/>
      <c r="H434" s="410"/>
      <c r="I434" s="410"/>
      <c r="J434" s="410"/>
      <c r="K434" s="410"/>
      <c r="L434" s="410"/>
      <c r="M434" s="410"/>
      <c r="N434" s="410"/>
      <c r="O434" s="410"/>
      <c r="P434" s="410"/>
      <c r="Q434" s="410"/>
      <c r="R434" s="410"/>
      <c r="S434" s="410"/>
      <c r="T434" s="410"/>
      <c r="U434" s="410"/>
      <c r="V434" s="410"/>
      <c r="W434" s="353"/>
    </row>
    <row r="435" spans="1:23" s="354" customFormat="1" ht="23.1" customHeight="1">
      <c r="A435" s="409"/>
      <c r="B435" s="409"/>
      <c r="C435" s="410"/>
      <c r="D435" s="410"/>
      <c r="E435" s="410"/>
      <c r="F435" s="410"/>
      <c r="G435" s="410"/>
      <c r="H435" s="410"/>
      <c r="I435" s="410"/>
      <c r="J435" s="410"/>
      <c r="K435" s="410"/>
      <c r="L435" s="410"/>
      <c r="M435" s="410"/>
      <c r="N435" s="410"/>
      <c r="O435" s="410"/>
      <c r="P435" s="410"/>
      <c r="Q435" s="410"/>
      <c r="R435" s="410"/>
      <c r="S435" s="410"/>
      <c r="T435" s="410"/>
      <c r="U435" s="410"/>
      <c r="V435" s="410"/>
      <c r="W435" s="353"/>
    </row>
    <row r="436" spans="1:23" s="354" customFormat="1" ht="23.1" customHeight="1">
      <c r="A436" s="409"/>
      <c r="B436" s="409"/>
      <c r="C436" s="410"/>
      <c r="D436" s="410"/>
      <c r="E436" s="410"/>
      <c r="F436" s="410"/>
      <c r="G436" s="410"/>
      <c r="H436" s="410"/>
      <c r="I436" s="410"/>
      <c r="J436" s="410"/>
      <c r="K436" s="410"/>
      <c r="L436" s="410"/>
      <c r="M436" s="410"/>
      <c r="N436" s="410"/>
      <c r="O436" s="410"/>
      <c r="P436" s="410"/>
      <c r="Q436" s="410"/>
      <c r="R436" s="410"/>
      <c r="S436" s="410"/>
      <c r="T436" s="410"/>
      <c r="U436" s="410"/>
      <c r="V436" s="410"/>
      <c r="W436" s="353"/>
    </row>
    <row r="437" spans="1:23" s="354" customFormat="1" ht="23.1" customHeight="1">
      <c r="A437" s="409"/>
      <c r="B437" s="409"/>
      <c r="C437" s="410"/>
      <c r="D437" s="410"/>
      <c r="E437" s="410"/>
      <c r="F437" s="410"/>
      <c r="G437" s="410"/>
      <c r="H437" s="410"/>
      <c r="I437" s="410"/>
      <c r="J437" s="410"/>
      <c r="K437" s="410"/>
      <c r="L437" s="410"/>
      <c r="M437" s="410"/>
      <c r="N437" s="410"/>
      <c r="O437" s="410"/>
      <c r="P437" s="410"/>
      <c r="Q437" s="410"/>
      <c r="R437" s="410"/>
      <c r="S437" s="410"/>
      <c r="T437" s="410"/>
      <c r="U437" s="410"/>
      <c r="V437" s="410"/>
      <c r="W437" s="353"/>
    </row>
    <row r="438" spans="1:23" s="354" customFormat="1" ht="23.1" customHeight="1">
      <c r="A438" s="409"/>
      <c r="B438" s="409"/>
      <c r="C438" s="410"/>
      <c r="D438" s="410"/>
      <c r="E438" s="410"/>
      <c r="F438" s="410"/>
      <c r="G438" s="410"/>
      <c r="H438" s="410"/>
      <c r="I438" s="410"/>
      <c r="J438" s="410"/>
      <c r="K438" s="410"/>
      <c r="L438" s="410"/>
      <c r="M438" s="410"/>
      <c r="N438" s="410"/>
      <c r="O438" s="410"/>
      <c r="P438" s="410"/>
      <c r="Q438" s="410"/>
      <c r="R438" s="410"/>
      <c r="S438" s="410"/>
      <c r="T438" s="410"/>
      <c r="U438" s="410"/>
      <c r="V438" s="410"/>
      <c r="W438" s="353"/>
    </row>
    <row r="439" spans="1:23" s="354" customFormat="1" ht="23.1" customHeight="1">
      <c r="A439" s="409"/>
      <c r="B439" s="409"/>
      <c r="C439" s="410"/>
      <c r="D439" s="410"/>
      <c r="E439" s="410"/>
      <c r="F439" s="410"/>
      <c r="G439" s="410"/>
      <c r="H439" s="410"/>
      <c r="I439" s="410"/>
      <c r="J439" s="410"/>
      <c r="K439" s="410"/>
      <c r="L439" s="410"/>
      <c r="M439" s="410"/>
      <c r="N439" s="410"/>
      <c r="O439" s="410"/>
      <c r="P439" s="410"/>
      <c r="Q439" s="410"/>
      <c r="R439" s="410"/>
      <c r="S439" s="410"/>
      <c r="T439" s="410"/>
      <c r="U439" s="410"/>
      <c r="V439" s="410"/>
      <c r="W439" s="353"/>
    </row>
    <row r="440" spans="1:23" s="354" customFormat="1" ht="23.1" customHeight="1">
      <c r="A440" s="409"/>
      <c r="B440" s="409"/>
      <c r="C440" s="410"/>
      <c r="D440" s="410"/>
      <c r="E440" s="410"/>
      <c r="F440" s="410"/>
      <c r="G440" s="410"/>
      <c r="H440" s="410"/>
      <c r="I440" s="410"/>
      <c r="J440" s="410"/>
      <c r="K440" s="410"/>
      <c r="L440" s="410"/>
      <c r="M440" s="410"/>
      <c r="N440" s="410"/>
      <c r="O440" s="410"/>
      <c r="P440" s="410"/>
      <c r="Q440" s="410"/>
      <c r="R440" s="410"/>
      <c r="S440" s="410"/>
      <c r="T440" s="410"/>
      <c r="U440" s="410"/>
      <c r="V440" s="410"/>
      <c r="W440" s="353"/>
    </row>
    <row r="441" spans="1:23" s="354" customFormat="1" ht="23.1" customHeight="1">
      <c r="A441" s="409"/>
      <c r="B441" s="409"/>
      <c r="C441" s="410"/>
      <c r="D441" s="410"/>
      <c r="E441" s="410"/>
      <c r="F441" s="410"/>
      <c r="G441" s="410"/>
      <c r="H441" s="410"/>
      <c r="I441" s="410"/>
      <c r="J441" s="410"/>
      <c r="K441" s="410"/>
      <c r="L441" s="410"/>
      <c r="M441" s="410"/>
      <c r="N441" s="410"/>
      <c r="O441" s="410"/>
      <c r="P441" s="410"/>
      <c r="Q441" s="410"/>
      <c r="R441" s="410"/>
      <c r="S441" s="410"/>
      <c r="T441" s="410"/>
      <c r="U441" s="410"/>
      <c r="V441" s="410"/>
      <c r="W441" s="353"/>
    </row>
    <row r="442" spans="1:23" s="354" customFormat="1" ht="23.1" customHeight="1">
      <c r="A442" s="409"/>
      <c r="B442" s="409"/>
      <c r="C442" s="410"/>
      <c r="D442" s="410"/>
      <c r="E442" s="410"/>
      <c r="F442" s="410"/>
      <c r="G442" s="410"/>
      <c r="H442" s="410"/>
      <c r="I442" s="410"/>
      <c r="J442" s="410"/>
      <c r="K442" s="410"/>
      <c r="L442" s="410"/>
      <c r="M442" s="410"/>
      <c r="N442" s="410"/>
      <c r="O442" s="410"/>
      <c r="P442" s="410"/>
      <c r="Q442" s="410"/>
      <c r="R442" s="410"/>
      <c r="S442" s="410"/>
      <c r="T442" s="410"/>
      <c r="U442" s="410"/>
      <c r="V442" s="410"/>
      <c r="W442" s="353"/>
    </row>
    <row r="443" spans="1:23" s="352" customFormat="1" ht="20.100000000000001" customHeight="1">
      <c r="A443" s="409"/>
      <c r="B443" s="409"/>
      <c r="C443" s="410"/>
      <c r="D443" s="410"/>
      <c r="E443" s="410"/>
      <c r="F443" s="410"/>
      <c r="G443" s="410"/>
      <c r="H443" s="410"/>
      <c r="I443" s="410"/>
      <c r="J443" s="410"/>
      <c r="K443" s="410"/>
      <c r="L443" s="410"/>
      <c r="M443" s="410"/>
      <c r="N443" s="410"/>
      <c r="O443" s="410"/>
      <c r="P443" s="410"/>
      <c r="Q443" s="410"/>
      <c r="R443" s="410"/>
      <c r="S443" s="410"/>
      <c r="T443" s="410"/>
      <c r="U443" s="410"/>
      <c r="V443" s="410"/>
    </row>
    <row r="444" spans="1:23" s="352" customFormat="1" ht="9.9499999999999993" customHeight="1">
      <c r="A444" s="409"/>
      <c r="B444" s="409"/>
      <c r="C444" s="410"/>
      <c r="D444" s="410"/>
      <c r="E444" s="410"/>
      <c r="F444" s="410"/>
      <c r="G444" s="410"/>
      <c r="H444" s="410"/>
      <c r="I444" s="410"/>
      <c r="J444" s="410"/>
      <c r="K444" s="410"/>
      <c r="L444" s="410"/>
      <c r="M444" s="410"/>
      <c r="N444" s="410"/>
      <c r="O444" s="410"/>
      <c r="P444" s="410"/>
      <c r="Q444" s="410"/>
      <c r="R444" s="410"/>
      <c r="S444" s="410"/>
      <c r="T444" s="410"/>
      <c r="U444" s="410"/>
      <c r="V444" s="410"/>
    </row>
    <row r="445" spans="1:23" s="354" customFormat="1" ht="27.95" customHeight="1">
      <c r="A445" s="409"/>
      <c r="B445" s="409"/>
      <c r="C445" s="410"/>
      <c r="D445" s="410"/>
      <c r="E445" s="410"/>
      <c r="F445" s="410"/>
      <c r="G445" s="410"/>
      <c r="H445" s="410"/>
      <c r="I445" s="410"/>
      <c r="J445" s="410"/>
      <c r="K445" s="410"/>
      <c r="L445" s="410"/>
      <c r="M445" s="410"/>
      <c r="N445" s="410"/>
      <c r="O445" s="410"/>
      <c r="P445" s="410"/>
      <c r="Q445" s="410"/>
      <c r="R445" s="410"/>
      <c r="S445" s="410"/>
      <c r="T445" s="410"/>
      <c r="U445" s="410"/>
      <c r="V445" s="410"/>
      <c r="W445" s="353"/>
    </row>
    <row r="446" spans="1:23" s="354" customFormat="1" ht="27.95" customHeight="1">
      <c r="A446" s="409"/>
      <c r="B446" s="409"/>
      <c r="C446" s="410"/>
      <c r="D446" s="410"/>
      <c r="E446" s="410"/>
      <c r="F446" s="410"/>
      <c r="G446" s="410"/>
      <c r="H446" s="410"/>
      <c r="I446" s="410"/>
      <c r="J446" s="410"/>
      <c r="K446" s="410"/>
      <c r="L446" s="410"/>
      <c r="M446" s="410"/>
      <c r="N446" s="410"/>
      <c r="O446" s="410"/>
      <c r="P446" s="410"/>
      <c r="Q446" s="410"/>
      <c r="R446" s="410"/>
      <c r="S446" s="410"/>
      <c r="T446" s="410"/>
      <c r="U446" s="410"/>
      <c r="V446" s="410"/>
      <c r="W446" s="353"/>
    </row>
    <row r="447" spans="1:23" s="354" customFormat="1" ht="23.1" customHeight="1">
      <c r="A447" s="409"/>
      <c r="B447" s="409"/>
      <c r="C447" s="410"/>
      <c r="D447" s="410"/>
      <c r="E447" s="410"/>
      <c r="F447" s="410"/>
      <c r="G447" s="410"/>
      <c r="H447" s="410"/>
      <c r="I447" s="410"/>
      <c r="J447" s="410"/>
      <c r="K447" s="410"/>
      <c r="L447" s="410"/>
      <c r="M447" s="410"/>
      <c r="N447" s="410"/>
      <c r="O447" s="410"/>
      <c r="P447" s="410"/>
      <c r="Q447" s="410"/>
      <c r="R447" s="410"/>
      <c r="S447" s="410"/>
      <c r="T447" s="410"/>
      <c r="U447" s="410"/>
      <c r="V447" s="410"/>
      <c r="W447" s="353"/>
    </row>
    <row r="448" spans="1:23" s="354" customFormat="1" ht="23.1" customHeight="1">
      <c r="A448" s="409"/>
      <c r="B448" s="409"/>
      <c r="C448" s="410"/>
      <c r="D448" s="410"/>
      <c r="E448" s="410"/>
      <c r="F448" s="410"/>
      <c r="G448" s="410"/>
      <c r="H448" s="410"/>
      <c r="I448" s="410"/>
      <c r="J448" s="410"/>
      <c r="K448" s="410"/>
      <c r="L448" s="410"/>
      <c r="M448" s="410"/>
      <c r="N448" s="410"/>
      <c r="O448" s="410"/>
      <c r="P448" s="410"/>
      <c r="Q448" s="410"/>
      <c r="R448" s="410"/>
      <c r="S448" s="410"/>
      <c r="T448" s="410"/>
      <c r="U448" s="410"/>
      <c r="V448" s="410"/>
      <c r="W448" s="353"/>
    </row>
    <row r="449" spans="1:23" s="354" customFormat="1" ht="23.1" customHeight="1">
      <c r="A449" s="409"/>
      <c r="B449" s="409"/>
      <c r="C449" s="410"/>
      <c r="D449" s="410"/>
      <c r="E449" s="410"/>
      <c r="F449" s="410"/>
      <c r="G449" s="410"/>
      <c r="H449" s="410"/>
      <c r="I449" s="410"/>
      <c r="J449" s="410"/>
      <c r="K449" s="410"/>
      <c r="L449" s="410"/>
      <c r="M449" s="410"/>
      <c r="N449" s="410"/>
      <c r="O449" s="410"/>
      <c r="P449" s="410"/>
      <c r="Q449" s="410"/>
      <c r="R449" s="410"/>
      <c r="S449" s="410"/>
      <c r="T449" s="410"/>
      <c r="U449" s="410"/>
      <c r="V449" s="410"/>
      <c r="W449" s="353"/>
    </row>
    <row r="450" spans="1:23" s="354" customFormat="1" ht="23.1" customHeight="1">
      <c r="A450" s="409"/>
      <c r="B450" s="409"/>
      <c r="C450" s="410"/>
      <c r="D450" s="410"/>
      <c r="E450" s="410"/>
      <c r="F450" s="410"/>
      <c r="G450" s="410"/>
      <c r="H450" s="410"/>
      <c r="I450" s="410"/>
      <c r="J450" s="410"/>
      <c r="K450" s="410"/>
      <c r="L450" s="410"/>
      <c r="M450" s="410"/>
      <c r="N450" s="410"/>
      <c r="O450" s="410"/>
      <c r="P450" s="410"/>
      <c r="Q450" s="410"/>
      <c r="R450" s="410"/>
      <c r="S450" s="410"/>
      <c r="T450" s="410"/>
      <c r="U450" s="410"/>
      <c r="V450" s="410"/>
      <c r="W450" s="353"/>
    </row>
    <row r="451" spans="1:23" s="354" customFormat="1" ht="23.1" customHeight="1">
      <c r="A451" s="409"/>
      <c r="B451" s="409"/>
      <c r="C451" s="410"/>
      <c r="D451" s="410"/>
      <c r="E451" s="410"/>
      <c r="F451" s="410"/>
      <c r="G451" s="410"/>
      <c r="H451" s="410"/>
      <c r="I451" s="410"/>
      <c r="J451" s="410"/>
      <c r="K451" s="410"/>
      <c r="L451" s="410"/>
      <c r="M451" s="410"/>
      <c r="N451" s="410"/>
      <c r="O451" s="410"/>
      <c r="P451" s="410"/>
      <c r="Q451" s="410"/>
      <c r="R451" s="410"/>
      <c r="S451" s="410"/>
      <c r="T451" s="410"/>
      <c r="U451" s="410"/>
      <c r="V451" s="410"/>
      <c r="W451" s="353"/>
    </row>
    <row r="452" spans="1:23" s="354" customFormat="1" ht="23.1" customHeight="1">
      <c r="A452" s="409"/>
      <c r="B452" s="409"/>
      <c r="C452" s="410"/>
      <c r="D452" s="410"/>
      <c r="E452" s="410"/>
      <c r="F452" s="410"/>
      <c r="G452" s="410"/>
      <c r="H452" s="410"/>
      <c r="I452" s="410"/>
      <c r="J452" s="410"/>
      <c r="K452" s="410"/>
      <c r="L452" s="410"/>
      <c r="M452" s="410"/>
      <c r="N452" s="410"/>
      <c r="O452" s="410"/>
      <c r="P452" s="410"/>
      <c r="Q452" s="410"/>
      <c r="R452" s="410"/>
      <c r="S452" s="410"/>
      <c r="T452" s="410"/>
      <c r="U452" s="410"/>
      <c r="V452" s="410"/>
      <c r="W452" s="353"/>
    </row>
    <row r="453" spans="1:23" s="354" customFormat="1" ht="23.1" customHeight="1">
      <c r="A453" s="409"/>
      <c r="B453" s="409"/>
      <c r="C453" s="410"/>
      <c r="D453" s="410"/>
      <c r="E453" s="410"/>
      <c r="F453" s="410"/>
      <c r="G453" s="410"/>
      <c r="H453" s="410"/>
      <c r="I453" s="410"/>
      <c r="J453" s="410"/>
      <c r="K453" s="410"/>
      <c r="L453" s="410"/>
      <c r="M453" s="410"/>
      <c r="N453" s="410"/>
      <c r="O453" s="410"/>
      <c r="P453" s="410"/>
      <c r="Q453" s="410"/>
      <c r="R453" s="410"/>
      <c r="S453" s="410"/>
      <c r="T453" s="410"/>
      <c r="U453" s="410"/>
      <c r="V453" s="410"/>
      <c r="W453" s="353"/>
    </row>
    <row r="454" spans="1:23" s="354" customFormat="1" ht="23.1" customHeight="1">
      <c r="A454" s="409"/>
      <c r="B454" s="409"/>
      <c r="C454" s="410"/>
      <c r="D454" s="410"/>
      <c r="E454" s="410"/>
      <c r="F454" s="410"/>
      <c r="G454" s="410"/>
      <c r="H454" s="410"/>
      <c r="I454" s="410"/>
      <c r="J454" s="410"/>
      <c r="K454" s="410"/>
      <c r="L454" s="410"/>
      <c r="M454" s="410"/>
      <c r="N454" s="410"/>
      <c r="O454" s="410"/>
      <c r="P454" s="410"/>
      <c r="Q454" s="410"/>
      <c r="R454" s="410"/>
      <c r="S454" s="410"/>
      <c r="T454" s="410"/>
      <c r="U454" s="410"/>
      <c r="V454" s="410"/>
      <c r="W454" s="353"/>
    </row>
    <row r="455" spans="1:23" s="354" customFormat="1" ht="23.1" customHeight="1">
      <c r="A455" s="409"/>
      <c r="B455" s="409"/>
      <c r="C455" s="410"/>
      <c r="D455" s="410"/>
      <c r="E455" s="410"/>
      <c r="F455" s="410"/>
      <c r="G455" s="410"/>
      <c r="H455" s="410"/>
      <c r="I455" s="410"/>
      <c r="J455" s="410"/>
      <c r="K455" s="410"/>
      <c r="L455" s="410"/>
      <c r="M455" s="410"/>
      <c r="N455" s="410"/>
      <c r="O455" s="410"/>
      <c r="P455" s="410"/>
      <c r="Q455" s="410"/>
      <c r="R455" s="410"/>
      <c r="S455" s="410"/>
      <c r="T455" s="410"/>
      <c r="U455" s="410"/>
      <c r="V455" s="410"/>
      <c r="W455" s="353"/>
    </row>
    <row r="456" spans="1:23" s="354" customFormat="1" ht="23.1" customHeight="1">
      <c r="A456" s="409"/>
      <c r="B456" s="409"/>
      <c r="C456" s="410"/>
      <c r="D456" s="410"/>
      <c r="E456" s="410"/>
      <c r="F456" s="410"/>
      <c r="G456" s="410"/>
      <c r="H456" s="410"/>
      <c r="I456" s="410"/>
      <c r="J456" s="410"/>
      <c r="K456" s="410"/>
      <c r="L456" s="410"/>
      <c r="M456" s="410"/>
      <c r="N456" s="410"/>
      <c r="O456" s="410"/>
      <c r="P456" s="410"/>
      <c r="Q456" s="410"/>
      <c r="R456" s="410"/>
      <c r="S456" s="410"/>
      <c r="T456" s="410"/>
      <c r="U456" s="410"/>
      <c r="V456" s="410"/>
      <c r="W456" s="353"/>
    </row>
    <row r="457" spans="1:23" s="354" customFormat="1" ht="23.1" customHeight="1">
      <c r="A457" s="409"/>
      <c r="B457" s="409"/>
      <c r="C457" s="410"/>
      <c r="D457" s="410"/>
      <c r="E457" s="410"/>
      <c r="F457" s="410"/>
      <c r="G457" s="410"/>
      <c r="H457" s="410"/>
      <c r="I457" s="410"/>
      <c r="J457" s="410"/>
      <c r="K457" s="410"/>
      <c r="L457" s="410"/>
      <c r="M457" s="410"/>
      <c r="N457" s="410"/>
      <c r="O457" s="410"/>
      <c r="P457" s="410"/>
      <c r="Q457" s="410"/>
      <c r="R457" s="410"/>
      <c r="S457" s="410"/>
      <c r="T457" s="410"/>
      <c r="U457" s="410"/>
      <c r="V457" s="410"/>
      <c r="W457" s="353"/>
    </row>
    <row r="458" spans="1:23" s="354" customFormat="1" ht="23.1" customHeight="1">
      <c r="A458" s="409"/>
      <c r="B458" s="409"/>
      <c r="C458" s="410"/>
      <c r="D458" s="410"/>
      <c r="E458" s="410"/>
      <c r="F458" s="410"/>
      <c r="G458" s="410"/>
      <c r="H458" s="410"/>
      <c r="I458" s="410"/>
      <c r="J458" s="410"/>
      <c r="K458" s="410"/>
      <c r="L458" s="410"/>
      <c r="M458" s="410"/>
      <c r="N458" s="410"/>
      <c r="O458" s="410"/>
      <c r="P458" s="410"/>
      <c r="Q458" s="410"/>
      <c r="R458" s="410"/>
      <c r="S458" s="410"/>
      <c r="T458" s="410"/>
      <c r="U458" s="410"/>
      <c r="V458" s="410"/>
      <c r="W458" s="353"/>
    </row>
    <row r="459" spans="1:23" s="354" customFormat="1" ht="23.1" customHeight="1">
      <c r="A459" s="409"/>
      <c r="B459" s="409"/>
      <c r="C459" s="410"/>
      <c r="D459" s="410"/>
      <c r="E459" s="410"/>
      <c r="F459" s="410"/>
      <c r="G459" s="410"/>
      <c r="H459" s="410"/>
      <c r="I459" s="410"/>
      <c r="J459" s="410"/>
      <c r="K459" s="410"/>
      <c r="L459" s="410"/>
      <c r="M459" s="410"/>
      <c r="N459" s="410"/>
      <c r="O459" s="410"/>
      <c r="P459" s="410"/>
      <c r="Q459" s="410"/>
      <c r="R459" s="410"/>
      <c r="S459" s="410"/>
      <c r="T459" s="410"/>
      <c r="U459" s="410"/>
      <c r="V459" s="410"/>
      <c r="W459" s="353"/>
    </row>
    <row r="460" spans="1:23" s="354" customFormat="1" ht="23.1" customHeight="1">
      <c r="A460" s="409"/>
      <c r="B460" s="409"/>
      <c r="C460" s="410"/>
      <c r="D460" s="410"/>
      <c r="E460" s="410"/>
      <c r="F460" s="410"/>
      <c r="G460" s="410"/>
      <c r="H460" s="410"/>
      <c r="I460" s="410"/>
      <c r="J460" s="410"/>
      <c r="K460" s="410"/>
      <c r="L460" s="410"/>
      <c r="M460" s="410"/>
      <c r="N460" s="410"/>
      <c r="O460" s="410"/>
      <c r="P460" s="410"/>
      <c r="Q460" s="410"/>
      <c r="R460" s="410"/>
      <c r="S460" s="410"/>
      <c r="T460" s="410"/>
      <c r="U460" s="410"/>
      <c r="V460" s="410"/>
      <c r="W460" s="353"/>
    </row>
    <row r="461" spans="1:23" s="354" customFormat="1" ht="23.1" customHeight="1">
      <c r="A461" s="409"/>
      <c r="B461" s="409"/>
      <c r="C461" s="410"/>
      <c r="D461" s="410"/>
      <c r="E461" s="410"/>
      <c r="F461" s="410"/>
      <c r="G461" s="410"/>
      <c r="H461" s="410"/>
      <c r="I461" s="410"/>
      <c r="J461" s="410"/>
      <c r="K461" s="410"/>
      <c r="L461" s="410"/>
      <c r="M461" s="410"/>
      <c r="N461" s="410"/>
      <c r="O461" s="410"/>
      <c r="P461" s="410"/>
      <c r="Q461" s="410"/>
      <c r="R461" s="410"/>
      <c r="S461" s="410"/>
      <c r="T461" s="410"/>
      <c r="U461" s="410"/>
      <c r="V461" s="410"/>
      <c r="W461" s="353"/>
    </row>
    <row r="462" spans="1:23" s="354" customFormat="1" ht="23.1" customHeight="1">
      <c r="A462" s="409"/>
      <c r="B462" s="409"/>
      <c r="C462" s="410"/>
      <c r="D462" s="410"/>
      <c r="E462" s="410"/>
      <c r="F462" s="410"/>
      <c r="G462" s="410"/>
      <c r="H462" s="410"/>
      <c r="I462" s="410"/>
      <c r="J462" s="410"/>
      <c r="K462" s="410"/>
      <c r="L462" s="410"/>
      <c r="M462" s="410"/>
      <c r="N462" s="410"/>
      <c r="O462" s="410"/>
      <c r="P462" s="410"/>
      <c r="Q462" s="410"/>
      <c r="R462" s="410"/>
      <c r="S462" s="410"/>
      <c r="T462" s="410"/>
      <c r="U462" s="410"/>
      <c r="V462" s="410"/>
      <c r="W462" s="353"/>
    </row>
    <row r="463" spans="1:23" s="354" customFormat="1" ht="23.1" customHeight="1">
      <c r="A463" s="409"/>
      <c r="B463" s="409"/>
      <c r="C463" s="410"/>
      <c r="D463" s="410"/>
      <c r="E463" s="410"/>
      <c r="F463" s="410"/>
      <c r="G463" s="410"/>
      <c r="H463" s="410"/>
      <c r="I463" s="410"/>
      <c r="J463" s="410"/>
      <c r="K463" s="410"/>
      <c r="L463" s="410"/>
      <c r="M463" s="410"/>
      <c r="N463" s="410"/>
      <c r="O463" s="410"/>
      <c r="P463" s="410"/>
      <c r="Q463" s="410"/>
      <c r="R463" s="410"/>
      <c r="S463" s="410"/>
      <c r="T463" s="410"/>
      <c r="U463" s="410"/>
      <c r="V463" s="410"/>
      <c r="W463" s="353"/>
    </row>
    <row r="464" spans="1:23" s="354" customFormat="1" ht="23.1" customHeight="1">
      <c r="A464" s="409"/>
      <c r="B464" s="409"/>
      <c r="C464" s="410"/>
      <c r="D464" s="410"/>
      <c r="E464" s="410"/>
      <c r="F464" s="410"/>
      <c r="G464" s="410"/>
      <c r="H464" s="410"/>
      <c r="I464" s="410"/>
      <c r="J464" s="410"/>
      <c r="K464" s="410"/>
      <c r="L464" s="410"/>
      <c r="M464" s="410"/>
      <c r="N464" s="410"/>
      <c r="O464" s="410"/>
      <c r="P464" s="410"/>
      <c r="Q464" s="410"/>
      <c r="R464" s="410"/>
      <c r="S464" s="410"/>
      <c r="T464" s="410"/>
      <c r="U464" s="410"/>
      <c r="V464" s="410"/>
      <c r="W464" s="353"/>
    </row>
    <row r="465" spans="1:23" s="354" customFormat="1" ht="23.1" customHeight="1">
      <c r="A465" s="409"/>
      <c r="B465" s="409"/>
      <c r="C465" s="410"/>
      <c r="D465" s="410"/>
      <c r="E465" s="410"/>
      <c r="F465" s="410"/>
      <c r="G465" s="410"/>
      <c r="H465" s="410"/>
      <c r="I465" s="410"/>
      <c r="J465" s="410"/>
      <c r="K465" s="410"/>
      <c r="L465" s="410"/>
      <c r="M465" s="410"/>
      <c r="N465" s="410"/>
      <c r="O465" s="410"/>
      <c r="P465" s="410"/>
      <c r="Q465" s="410"/>
      <c r="R465" s="410"/>
      <c r="S465" s="410"/>
      <c r="T465" s="410"/>
      <c r="U465" s="410"/>
      <c r="V465" s="410"/>
      <c r="W465" s="353"/>
    </row>
    <row r="466" spans="1:23" s="354" customFormat="1" ht="23.1" customHeight="1">
      <c r="A466" s="409"/>
      <c r="B466" s="409"/>
      <c r="C466" s="410"/>
      <c r="D466" s="410"/>
      <c r="E466" s="410"/>
      <c r="F466" s="410"/>
      <c r="G466" s="410"/>
      <c r="H466" s="410"/>
      <c r="I466" s="410"/>
      <c r="J466" s="410"/>
      <c r="K466" s="410"/>
      <c r="L466" s="410"/>
      <c r="M466" s="410"/>
      <c r="N466" s="410"/>
      <c r="O466" s="410"/>
      <c r="P466" s="410"/>
      <c r="Q466" s="410"/>
      <c r="R466" s="410"/>
      <c r="S466" s="410"/>
      <c r="T466" s="410"/>
      <c r="U466" s="410"/>
      <c r="V466" s="410"/>
      <c r="W466" s="353"/>
    </row>
    <row r="467" spans="1:23" s="354" customFormat="1" ht="23.1" customHeight="1">
      <c r="A467" s="409"/>
      <c r="B467" s="409"/>
      <c r="C467" s="410"/>
      <c r="D467" s="410"/>
      <c r="E467" s="410"/>
      <c r="F467" s="410"/>
      <c r="G467" s="410"/>
      <c r="H467" s="410"/>
      <c r="I467" s="410"/>
      <c r="J467" s="410"/>
      <c r="K467" s="410"/>
      <c r="L467" s="410"/>
      <c r="M467" s="410"/>
      <c r="N467" s="410"/>
      <c r="O467" s="410"/>
      <c r="P467" s="410"/>
      <c r="Q467" s="410"/>
      <c r="R467" s="410"/>
      <c r="S467" s="410"/>
      <c r="T467" s="410"/>
      <c r="U467" s="410"/>
      <c r="V467" s="410"/>
      <c r="W467" s="353"/>
    </row>
    <row r="468" spans="1:23" s="354" customFormat="1" ht="23.1" customHeight="1">
      <c r="A468" s="409"/>
      <c r="B468" s="409"/>
      <c r="C468" s="410"/>
      <c r="D468" s="410"/>
      <c r="E468" s="410"/>
      <c r="F468" s="410"/>
      <c r="G468" s="410"/>
      <c r="H468" s="410"/>
      <c r="I468" s="410"/>
      <c r="J468" s="410"/>
      <c r="K468" s="410"/>
      <c r="L468" s="410"/>
      <c r="M468" s="410"/>
      <c r="N468" s="410"/>
      <c r="O468" s="410"/>
      <c r="P468" s="410"/>
      <c r="Q468" s="410"/>
      <c r="R468" s="410"/>
      <c r="S468" s="410"/>
      <c r="T468" s="410"/>
      <c r="U468" s="410"/>
      <c r="V468" s="410"/>
      <c r="W468" s="353"/>
    </row>
    <row r="469" spans="1:23" s="354" customFormat="1" ht="23.1" customHeight="1">
      <c r="A469" s="409"/>
      <c r="B469" s="409"/>
      <c r="C469" s="410"/>
      <c r="D469" s="410"/>
      <c r="E469" s="410"/>
      <c r="F469" s="410"/>
      <c r="G469" s="410"/>
      <c r="H469" s="410"/>
      <c r="I469" s="410"/>
      <c r="J469" s="410"/>
      <c r="K469" s="410"/>
      <c r="L469" s="410"/>
      <c r="M469" s="410"/>
      <c r="N469" s="410"/>
      <c r="O469" s="410"/>
      <c r="P469" s="410"/>
      <c r="Q469" s="410"/>
      <c r="R469" s="410"/>
      <c r="S469" s="410"/>
      <c r="T469" s="410"/>
      <c r="U469" s="410"/>
      <c r="V469" s="410"/>
      <c r="W469" s="353"/>
    </row>
    <row r="470" spans="1:23" s="354" customFormat="1" ht="23.1" customHeight="1">
      <c r="A470" s="409"/>
      <c r="B470" s="409"/>
      <c r="C470" s="410"/>
      <c r="D470" s="410"/>
      <c r="E470" s="410"/>
      <c r="F470" s="410"/>
      <c r="G470" s="410"/>
      <c r="H470" s="410"/>
      <c r="I470" s="410"/>
      <c r="J470" s="410"/>
      <c r="K470" s="410"/>
      <c r="L470" s="410"/>
      <c r="M470" s="410"/>
      <c r="N470" s="410"/>
      <c r="O470" s="410"/>
      <c r="P470" s="410"/>
      <c r="Q470" s="410"/>
      <c r="R470" s="410"/>
      <c r="S470" s="410"/>
      <c r="T470" s="410"/>
      <c r="U470" s="410"/>
      <c r="V470" s="410"/>
      <c r="W470" s="353"/>
    </row>
    <row r="471" spans="1:23" s="354" customFormat="1" ht="23.1" customHeight="1">
      <c r="A471" s="409"/>
      <c r="B471" s="409"/>
      <c r="C471" s="410"/>
      <c r="D471" s="410"/>
      <c r="E471" s="410"/>
      <c r="F471" s="410"/>
      <c r="G471" s="410"/>
      <c r="H471" s="410"/>
      <c r="I471" s="410"/>
      <c r="J471" s="410"/>
      <c r="K471" s="410"/>
      <c r="L471" s="410"/>
      <c r="M471" s="410"/>
      <c r="N471" s="410"/>
      <c r="O471" s="410"/>
      <c r="P471" s="410"/>
      <c r="Q471" s="410"/>
      <c r="R471" s="410"/>
      <c r="S471" s="410"/>
      <c r="T471" s="410"/>
      <c r="U471" s="410"/>
      <c r="V471" s="410"/>
      <c r="W471" s="353"/>
    </row>
    <row r="472" spans="1:23" s="354" customFormat="1" ht="23.1" customHeight="1">
      <c r="A472" s="409"/>
      <c r="B472" s="409"/>
      <c r="C472" s="410"/>
      <c r="D472" s="410"/>
      <c r="E472" s="410"/>
      <c r="F472" s="410"/>
      <c r="G472" s="410"/>
      <c r="H472" s="410"/>
      <c r="I472" s="410"/>
      <c r="J472" s="410"/>
      <c r="K472" s="410"/>
      <c r="L472" s="410"/>
      <c r="M472" s="410"/>
      <c r="N472" s="410"/>
      <c r="O472" s="410"/>
      <c r="P472" s="410"/>
      <c r="Q472" s="410"/>
      <c r="R472" s="410"/>
      <c r="S472" s="410"/>
      <c r="T472" s="410"/>
      <c r="U472" s="410"/>
      <c r="V472" s="410"/>
      <c r="W472" s="353"/>
    </row>
    <row r="473" spans="1:23" s="352" customFormat="1" ht="20.100000000000001" customHeight="1">
      <c r="A473" s="409"/>
      <c r="B473" s="409"/>
      <c r="C473" s="410"/>
      <c r="D473" s="410"/>
      <c r="E473" s="410"/>
      <c r="F473" s="410"/>
      <c r="G473" s="410"/>
      <c r="H473" s="410"/>
      <c r="I473" s="410"/>
      <c r="J473" s="410"/>
      <c r="K473" s="410"/>
      <c r="L473" s="410"/>
      <c r="M473" s="410"/>
      <c r="N473" s="410"/>
      <c r="O473" s="410"/>
      <c r="P473" s="410"/>
      <c r="Q473" s="410"/>
      <c r="R473" s="410"/>
      <c r="S473" s="410"/>
      <c r="T473" s="410"/>
      <c r="U473" s="410"/>
      <c r="V473" s="410"/>
    </row>
    <row r="474" spans="1:23" s="352" customFormat="1" ht="9.9499999999999993" customHeight="1">
      <c r="A474" s="409"/>
      <c r="B474" s="409"/>
      <c r="C474" s="410"/>
      <c r="D474" s="410"/>
      <c r="E474" s="410"/>
      <c r="F474" s="410"/>
      <c r="G474" s="410"/>
      <c r="H474" s="410"/>
      <c r="I474" s="410"/>
      <c r="J474" s="410"/>
      <c r="K474" s="410"/>
      <c r="L474" s="410"/>
      <c r="M474" s="410"/>
      <c r="N474" s="410"/>
      <c r="O474" s="410"/>
      <c r="P474" s="410"/>
      <c r="Q474" s="410"/>
      <c r="R474" s="410"/>
      <c r="S474" s="410"/>
      <c r="T474" s="410"/>
      <c r="U474" s="410"/>
      <c r="V474" s="410"/>
    </row>
    <row r="475" spans="1:23" s="354" customFormat="1" ht="27.95" customHeight="1">
      <c r="A475" s="409"/>
      <c r="B475" s="409"/>
      <c r="C475" s="410"/>
      <c r="D475" s="410"/>
      <c r="E475" s="410"/>
      <c r="F475" s="410"/>
      <c r="G475" s="410"/>
      <c r="H475" s="410"/>
      <c r="I475" s="410"/>
      <c r="J475" s="410"/>
      <c r="K475" s="410"/>
      <c r="L475" s="410"/>
      <c r="M475" s="410"/>
      <c r="N475" s="410"/>
      <c r="O475" s="410"/>
      <c r="P475" s="410"/>
      <c r="Q475" s="410"/>
      <c r="R475" s="410"/>
      <c r="S475" s="410"/>
      <c r="T475" s="410"/>
      <c r="U475" s="410"/>
      <c r="V475" s="410"/>
      <c r="W475" s="353"/>
    </row>
    <row r="476" spans="1:23" s="354" customFormat="1" ht="27.95" customHeight="1">
      <c r="A476" s="409"/>
      <c r="B476" s="409"/>
      <c r="C476" s="410"/>
      <c r="D476" s="410"/>
      <c r="E476" s="410"/>
      <c r="F476" s="410"/>
      <c r="G476" s="410"/>
      <c r="H476" s="410"/>
      <c r="I476" s="410"/>
      <c r="J476" s="410"/>
      <c r="K476" s="410"/>
      <c r="L476" s="410"/>
      <c r="M476" s="410"/>
      <c r="N476" s="410"/>
      <c r="O476" s="410"/>
      <c r="P476" s="410"/>
      <c r="Q476" s="410"/>
      <c r="R476" s="410"/>
      <c r="S476" s="410"/>
      <c r="T476" s="410"/>
      <c r="U476" s="410"/>
      <c r="V476" s="410"/>
      <c r="W476" s="353"/>
    </row>
    <row r="477" spans="1:23" s="354" customFormat="1" ht="23.1" customHeight="1">
      <c r="A477" s="409"/>
      <c r="B477" s="409"/>
      <c r="C477" s="410"/>
      <c r="D477" s="410"/>
      <c r="E477" s="410"/>
      <c r="F477" s="410"/>
      <c r="G477" s="410"/>
      <c r="H477" s="410"/>
      <c r="I477" s="410"/>
      <c r="J477" s="410"/>
      <c r="K477" s="410"/>
      <c r="L477" s="410"/>
      <c r="M477" s="410"/>
      <c r="N477" s="410"/>
      <c r="O477" s="410"/>
      <c r="P477" s="410"/>
      <c r="Q477" s="410"/>
      <c r="R477" s="410"/>
      <c r="S477" s="410"/>
      <c r="T477" s="410"/>
      <c r="U477" s="410"/>
      <c r="V477" s="410"/>
      <c r="W477" s="353"/>
    </row>
    <row r="478" spans="1:23" s="354" customFormat="1" ht="23.1" customHeight="1">
      <c r="A478" s="409"/>
      <c r="B478" s="409"/>
      <c r="C478" s="410"/>
      <c r="D478" s="410"/>
      <c r="E478" s="410"/>
      <c r="F478" s="410"/>
      <c r="G478" s="410"/>
      <c r="H478" s="410"/>
      <c r="I478" s="410"/>
      <c r="J478" s="410"/>
      <c r="K478" s="410"/>
      <c r="L478" s="410"/>
      <c r="M478" s="410"/>
      <c r="N478" s="410"/>
      <c r="O478" s="410"/>
      <c r="P478" s="410"/>
      <c r="Q478" s="410"/>
      <c r="R478" s="410"/>
      <c r="S478" s="410"/>
      <c r="T478" s="410"/>
      <c r="U478" s="410"/>
      <c r="V478" s="410"/>
      <c r="W478" s="353"/>
    </row>
    <row r="479" spans="1:23" s="354" customFormat="1" ht="23.1" customHeight="1">
      <c r="A479" s="409"/>
      <c r="B479" s="409"/>
      <c r="C479" s="410"/>
      <c r="D479" s="410"/>
      <c r="E479" s="410"/>
      <c r="F479" s="410"/>
      <c r="G479" s="410"/>
      <c r="H479" s="410"/>
      <c r="I479" s="410"/>
      <c r="J479" s="410"/>
      <c r="K479" s="410"/>
      <c r="L479" s="410"/>
      <c r="M479" s="410"/>
      <c r="N479" s="410"/>
      <c r="O479" s="410"/>
      <c r="P479" s="410"/>
      <c r="Q479" s="410"/>
      <c r="R479" s="410"/>
      <c r="S479" s="410"/>
      <c r="T479" s="410"/>
      <c r="U479" s="410"/>
      <c r="V479" s="410"/>
      <c r="W479" s="353"/>
    </row>
    <row r="480" spans="1:23" s="354" customFormat="1" ht="23.1" customHeight="1">
      <c r="A480" s="409"/>
      <c r="B480" s="409"/>
      <c r="C480" s="410"/>
      <c r="D480" s="410"/>
      <c r="E480" s="410"/>
      <c r="F480" s="410"/>
      <c r="G480" s="410"/>
      <c r="H480" s="410"/>
      <c r="I480" s="410"/>
      <c r="J480" s="410"/>
      <c r="K480" s="410"/>
      <c r="L480" s="410"/>
      <c r="M480" s="410"/>
      <c r="N480" s="410"/>
      <c r="O480" s="410"/>
      <c r="P480" s="410"/>
      <c r="Q480" s="410"/>
      <c r="R480" s="410"/>
      <c r="S480" s="410"/>
      <c r="T480" s="410"/>
      <c r="U480" s="410"/>
      <c r="V480" s="410"/>
      <c r="W480" s="353"/>
    </row>
    <row r="481" spans="1:23" s="354" customFormat="1" ht="23.1" customHeight="1">
      <c r="A481" s="409"/>
      <c r="B481" s="409"/>
      <c r="C481" s="410"/>
      <c r="D481" s="410"/>
      <c r="E481" s="410"/>
      <c r="F481" s="410"/>
      <c r="G481" s="410"/>
      <c r="H481" s="410"/>
      <c r="I481" s="410"/>
      <c r="J481" s="410"/>
      <c r="K481" s="410"/>
      <c r="L481" s="410"/>
      <c r="M481" s="410"/>
      <c r="N481" s="410"/>
      <c r="O481" s="410"/>
      <c r="P481" s="410"/>
      <c r="Q481" s="410"/>
      <c r="R481" s="410"/>
      <c r="S481" s="410"/>
      <c r="T481" s="410"/>
      <c r="U481" s="410"/>
      <c r="V481" s="410"/>
      <c r="W481" s="353"/>
    </row>
    <row r="482" spans="1:23" s="354" customFormat="1" ht="23.1" customHeight="1">
      <c r="A482" s="409"/>
      <c r="B482" s="409"/>
      <c r="C482" s="410"/>
      <c r="D482" s="410"/>
      <c r="E482" s="410"/>
      <c r="F482" s="410"/>
      <c r="G482" s="410"/>
      <c r="H482" s="410"/>
      <c r="I482" s="410"/>
      <c r="J482" s="410"/>
      <c r="K482" s="410"/>
      <c r="L482" s="410"/>
      <c r="M482" s="410"/>
      <c r="N482" s="410"/>
      <c r="O482" s="410"/>
      <c r="P482" s="410"/>
      <c r="Q482" s="410"/>
      <c r="R482" s="410"/>
      <c r="S482" s="410"/>
      <c r="T482" s="410"/>
      <c r="U482" s="410"/>
      <c r="V482" s="410"/>
      <c r="W482" s="353"/>
    </row>
    <row r="483" spans="1:23" s="354" customFormat="1" ht="23.1" customHeight="1">
      <c r="A483" s="409"/>
      <c r="B483" s="409"/>
      <c r="C483" s="410"/>
      <c r="D483" s="410"/>
      <c r="E483" s="410"/>
      <c r="F483" s="410"/>
      <c r="G483" s="410"/>
      <c r="H483" s="410"/>
      <c r="I483" s="410"/>
      <c r="J483" s="410"/>
      <c r="K483" s="410"/>
      <c r="L483" s="410"/>
      <c r="M483" s="410"/>
      <c r="N483" s="410"/>
      <c r="O483" s="410"/>
      <c r="P483" s="410"/>
      <c r="Q483" s="410"/>
      <c r="R483" s="410"/>
      <c r="S483" s="410"/>
      <c r="T483" s="410"/>
      <c r="U483" s="410"/>
      <c r="V483" s="410"/>
      <c r="W483" s="353"/>
    </row>
    <row r="484" spans="1:23" s="354" customFormat="1" ht="23.1" customHeight="1">
      <c r="A484" s="409"/>
      <c r="B484" s="409"/>
      <c r="C484" s="410"/>
      <c r="D484" s="410"/>
      <c r="E484" s="410"/>
      <c r="F484" s="410"/>
      <c r="G484" s="410"/>
      <c r="H484" s="410"/>
      <c r="I484" s="410"/>
      <c r="J484" s="410"/>
      <c r="K484" s="410"/>
      <c r="L484" s="410"/>
      <c r="M484" s="410"/>
      <c r="N484" s="410"/>
      <c r="O484" s="410"/>
      <c r="P484" s="410"/>
      <c r="Q484" s="410"/>
      <c r="R484" s="410"/>
      <c r="S484" s="410"/>
      <c r="T484" s="410"/>
      <c r="U484" s="410"/>
      <c r="V484" s="410"/>
      <c r="W484" s="353"/>
    </row>
    <row r="485" spans="1:23" s="354" customFormat="1" ht="23.1" customHeight="1">
      <c r="A485" s="409"/>
      <c r="B485" s="409"/>
      <c r="C485" s="410"/>
      <c r="D485" s="410"/>
      <c r="E485" s="410"/>
      <c r="F485" s="410"/>
      <c r="G485" s="410"/>
      <c r="H485" s="410"/>
      <c r="I485" s="410"/>
      <c r="J485" s="410"/>
      <c r="K485" s="410"/>
      <c r="L485" s="410"/>
      <c r="M485" s="410"/>
      <c r="N485" s="410"/>
      <c r="O485" s="410"/>
      <c r="P485" s="410"/>
      <c r="Q485" s="410"/>
      <c r="R485" s="410"/>
      <c r="S485" s="410"/>
      <c r="T485" s="410"/>
      <c r="U485" s="410"/>
      <c r="V485" s="410"/>
      <c r="W485" s="353"/>
    </row>
    <row r="486" spans="1:23" s="354" customFormat="1" ht="23.1" customHeight="1">
      <c r="A486" s="409"/>
      <c r="B486" s="409"/>
      <c r="C486" s="410"/>
      <c r="D486" s="410"/>
      <c r="E486" s="410"/>
      <c r="F486" s="410"/>
      <c r="G486" s="410"/>
      <c r="H486" s="410"/>
      <c r="I486" s="410"/>
      <c r="J486" s="410"/>
      <c r="K486" s="410"/>
      <c r="L486" s="410"/>
      <c r="M486" s="410"/>
      <c r="N486" s="410"/>
      <c r="O486" s="410"/>
      <c r="P486" s="410"/>
      <c r="Q486" s="410"/>
      <c r="R486" s="410"/>
      <c r="S486" s="410"/>
      <c r="T486" s="410"/>
      <c r="U486" s="410"/>
      <c r="V486" s="410"/>
      <c r="W486" s="353"/>
    </row>
    <row r="487" spans="1:23" s="354" customFormat="1" ht="23.1" customHeight="1">
      <c r="A487" s="409"/>
      <c r="B487" s="409"/>
      <c r="C487" s="410"/>
      <c r="D487" s="410"/>
      <c r="E487" s="410"/>
      <c r="F487" s="410"/>
      <c r="G487" s="410"/>
      <c r="H487" s="410"/>
      <c r="I487" s="410"/>
      <c r="J487" s="410"/>
      <c r="K487" s="410"/>
      <c r="L487" s="410"/>
      <c r="M487" s="410"/>
      <c r="N487" s="410"/>
      <c r="O487" s="410"/>
      <c r="P487" s="410"/>
      <c r="Q487" s="410"/>
      <c r="R487" s="410"/>
      <c r="S487" s="410"/>
      <c r="T487" s="410"/>
      <c r="U487" s="410"/>
      <c r="V487" s="410"/>
      <c r="W487" s="353"/>
    </row>
    <row r="488" spans="1:23" s="354" customFormat="1" ht="23.1" customHeight="1">
      <c r="A488" s="409"/>
      <c r="B488" s="409"/>
      <c r="C488" s="410"/>
      <c r="D488" s="410"/>
      <c r="E488" s="410"/>
      <c r="F488" s="410"/>
      <c r="G488" s="410"/>
      <c r="H488" s="410"/>
      <c r="I488" s="410"/>
      <c r="J488" s="410"/>
      <c r="K488" s="410"/>
      <c r="L488" s="410"/>
      <c r="M488" s="410"/>
      <c r="N488" s="410"/>
      <c r="O488" s="410"/>
      <c r="P488" s="410"/>
      <c r="Q488" s="410"/>
      <c r="R488" s="410"/>
      <c r="S488" s="410"/>
      <c r="T488" s="410"/>
      <c r="U488" s="410"/>
      <c r="V488" s="410"/>
      <c r="W488" s="353"/>
    </row>
    <row r="489" spans="1:23" s="354" customFormat="1" ht="23.1" customHeight="1">
      <c r="A489" s="409"/>
      <c r="B489" s="409"/>
      <c r="C489" s="410"/>
      <c r="D489" s="410"/>
      <c r="E489" s="410"/>
      <c r="F489" s="410"/>
      <c r="G489" s="410"/>
      <c r="H489" s="410"/>
      <c r="I489" s="410"/>
      <c r="J489" s="410"/>
      <c r="K489" s="410"/>
      <c r="L489" s="410"/>
      <c r="M489" s="410"/>
      <c r="N489" s="410"/>
      <c r="O489" s="410"/>
      <c r="P489" s="410"/>
      <c r="Q489" s="410"/>
      <c r="R489" s="410"/>
      <c r="S489" s="410"/>
      <c r="T489" s="410"/>
      <c r="U489" s="410"/>
      <c r="V489" s="410"/>
      <c r="W489" s="353"/>
    </row>
    <row r="490" spans="1:23" s="354" customFormat="1" ht="23.1" customHeight="1">
      <c r="A490" s="409"/>
      <c r="B490" s="409"/>
      <c r="C490" s="410"/>
      <c r="D490" s="410"/>
      <c r="E490" s="410"/>
      <c r="F490" s="410"/>
      <c r="G490" s="410"/>
      <c r="H490" s="410"/>
      <c r="I490" s="410"/>
      <c r="J490" s="410"/>
      <c r="K490" s="410"/>
      <c r="L490" s="410"/>
      <c r="M490" s="410"/>
      <c r="N490" s="410"/>
      <c r="O490" s="410"/>
      <c r="P490" s="410"/>
      <c r="Q490" s="410"/>
      <c r="R490" s="410"/>
      <c r="S490" s="410"/>
      <c r="T490" s="410"/>
      <c r="U490" s="410"/>
      <c r="V490" s="410"/>
      <c r="W490" s="353"/>
    </row>
    <row r="491" spans="1:23" s="354" customFormat="1" ht="23.1" customHeight="1">
      <c r="A491" s="409"/>
      <c r="B491" s="409"/>
      <c r="C491" s="410"/>
      <c r="D491" s="410"/>
      <c r="E491" s="410"/>
      <c r="F491" s="410"/>
      <c r="G491" s="410"/>
      <c r="H491" s="410"/>
      <c r="I491" s="410"/>
      <c r="J491" s="410"/>
      <c r="K491" s="410"/>
      <c r="L491" s="410"/>
      <c r="M491" s="410"/>
      <c r="N491" s="410"/>
      <c r="O491" s="410"/>
      <c r="P491" s="410"/>
      <c r="Q491" s="410"/>
      <c r="R491" s="410"/>
      <c r="S491" s="410"/>
      <c r="T491" s="410"/>
      <c r="U491" s="410"/>
      <c r="V491" s="410"/>
      <c r="W491" s="353"/>
    </row>
    <row r="492" spans="1:23" s="354" customFormat="1" ht="23.1" customHeight="1">
      <c r="A492" s="409"/>
      <c r="B492" s="409"/>
      <c r="C492" s="410"/>
      <c r="D492" s="410"/>
      <c r="E492" s="410"/>
      <c r="F492" s="410"/>
      <c r="G492" s="410"/>
      <c r="H492" s="410"/>
      <c r="I492" s="410"/>
      <c r="J492" s="410"/>
      <c r="K492" s="410"/>
      <c r="L492" s="410"/>
      <c r="M492" s="410"/>
      <c r="N492" s="410"/>
      <c r="O492" s="410"/>
      <c r="P492" s="410"/>
      <c r="Q492" s="410"/>
      <c r="R492" s="410"/>
      <c r="S492" s="410"/>
      <c r="T492" s="410"/>
      <c r="U492" s="410"/>
      <c r="V492" s="410"/>
      <c r="W492" s="353"/>
    </row>
    <row r="493" spans="1:23" s="354" customFormat="1" ht="23.1" customHeight="1">
      <c r="A493" s="409"/>
      <c r="B493" s="409"/>
      <c r="C493" s="410"/>
      <c r="D493" s="410"/>
      <c r="E493" s="410"/>
      <c r="F493" s="410"/>
      <c r="G493" s="410"/>
      <c r="H493" s="410"/>
      <c r="I493" s="410"/>
      <c r="J493" s="410"/>
      <c r="K493" s="410"/>
      <c r="L493" s="410"/>
      <c r="M493" s="410"/>
      <c r="N493" s="410"/>
      <c r="O493" s="410"/>
      <c r="P493" s="410"/>
      <c r="Q493" s="410"/>
      <c r="R493" s="410"/>
      <c r="S493" s="410"/>
      <c r="T493" s="410"/>
      <c r="U493" s="410"/>
      <c r="V493" s="410"/>
      <c r="W493" s="353"/>
    </row>
    <row r="494" spans="1:23" s="354" customFormat="1" ht="23.1" customHeight="1">
      <c r="A494" s="409"/>
      <c r="B494" s="409"/>
      <c r="C494" s="410"/>
      <c r="D494" s="410"/>
      <c r="E494" s="410"/>
      <c r="F494" s="410"/>
      <c r="G494" s="410"/>
      <c r="H494" s="410"/>
      <c r="I494" s="410"/>
      <c r="J494" s="410"/>
      <c r="K494" s="410"/>
      <c r="L494" s="410"/>
      <c r="M494" s="410"/>
      <c r="N494" s="410"/>
      <c r="O494" s="410"/>
      <c r="P494" s="410"/>
      <c r="Q494" s="410"/>
      <c r="R494" s="410"/>
      <c r="S494" s="410"/>
      <c r="T494" s="410"/>
      <c r="U494" s="410"/>
      <c r="V494" s="410"/>
      <c r="W494" s="353"/>
    </row>
    <row r="495" spans="1:23" s="354" customFormat="1" ht="23.1" customHeight="1">
      <c r="A495" s="409"/>
      <c r="B495" s="409"/>
      <c r="C495" s="410"/>
      <c r="D495" s="410"/>
      <c r="E495" s="410"/>
      <c r="F495" s="410"/>
      <c r="G495" s="410"/>
      <c r="H495" s="410"/>
      <c r="I495" s="410"/>
      <c r="J495" s="410"/>
      <c r="K495" s="410"/>
      <c r="L495" s="410"/>
      <c r="M495" s="410"/>
      <c r="N495" s="410"/>
      <c r="O495" s="410"/>
      <c r="P495" s="410"/>
      <c r="Q495" s="410"/>
      <c r="R495" s="410"/>
      <c r="S495" s="410"/>
      <c r="T495" s="410"/>
      <c r="U495" s="410"/>
      <c r="V495" s="410"/>
      <c r="W495" s="353"/>
    </row>
    <row r="496" spans="1:23" s="354" customFormat="1" ht="23.1" customHeight="1">
      <c r="A496" s="409"/>
      <c r="B496" s="409"/>
      <c r="C496" s="410"/>
      <c r="D496" s="410"/>
      <c r="E496" s="410"/>
      <c r="F496" s="410"/>
      <c r="G496" s="410"/>
      <c r="H496" s="410"/>
      <c r="I496" s="410"/>
      <c r="J496" s="410"/>
      <c r="K496" s="410"/>
      <c r="L496" s="410"/>
      <c r="M496" s="410"/>
      <c r="N496" s="410"/>
      <c r="O496" s="410"/>
      <c r="P496" s="410"/>
      <c r="Q496" s="410"/>
      <c r="R496" s="410"/>
      <c r="S496" s="410"/>
      <c r="T496" s="410"/>
      <c r="U496" s="410"/>
      <c r="V496" s="410"/>
      <c r="W496" s="353"/>
    </row>
    <row r="497" spans="1:23" s="354" customFormat="1" ht="23.1" customHeight="1">
      <c r="A497" s="409"/>
      <c r="B497" s="409"/>
      <c r="C497" s="410"/>
      <c r="D497" s="410"/>
      <c r="E497" s="410"/>
      <c r="F497" s="410"/>
      <c r="G497" s="410"/>
      <c r="H497" s="410"/>
      <c r="I497" s="410"/>
      <c r="J497" s="410"/>
      <c r="K497" s="410"/>
      <c r="L497" s="410"/>
      <c r="M497" s="410"/>
      <c r="N497" s="410"/>
      <c r="O497" s="410"/>
      <c r="P497" s="410"/>
      <c r="Q497" s="410"/>
      <c r="R497" s="410"/>
      <c r="S497" s="410"/>
      <c r="T497" s="410"/>
      <c r="U497" s="410"/>
      <c r="V497" s="410"/>
      <c r="W497" s="353"/>
    </row>
    <row r="498" spans="1:23" s="354" customFormat="1" ht="23.1" customHeight="1">
      <c r="A498" s="409"/>
      <c r="B498" s="409"/>
      <c r="C498" s="410"/>
      <c r="D498" s="410"/>
      <c r="E498" s="410"/>
      <c r="F498" s="410"/>
      <c r="G498" s="410"/>
      <c r="H498" s="410"/>
      <c r="I498" s="410"/>
      <c r="J498" s="410"/>
      <c r="K498" s="410"/>
      <c r="L498" s="410"/>
      <c r="M498" s="410"/>
      <c r="N498" s="410"/>
      <c r="O498" s="410"/>
      <c r="P498" s="410"/>
      <c r="Q498" s="410"/>
      <c r="R498" s="410"/>
      <c r="S498" s="410"/>
      <c r="T498" s="410"/>
      <c r="U498" s="410"/>
      <c r="V498" s="410"/>
      <c r="W498" s="353"/>
    </row>
    <row r="499" spans="1:23" s="354" customFormat="1" ht="23.1" customHeight="1">
      <c r="A499" s="409"/>
      <c r="B499" s="409"/>
      <c r="C499" s="410"/>
      <c r="D499" s="410"/>
      <c r="E499" s="410"/>
      <c r="F499" s="410"/>
      <c r="G499" s="410"/>
      <c r="H499" s="410"/>
      <c r="I499" s="410"/>
      <c r="J499" s="410"/>
      <c r="K499" s="410"/>
      <c r="L499" s="410"/>
      <c r="M499" s="410"/>
      <c r="N499" s="410"/>
      <c r="O499" s="410"/>
      <c r="P499" s="410"/>
      <c r="Q499" s="410"/>
      <c r="R499" s="410"/>
      <c r="S499" s="410"/>
      <c r="T499" s="410"/>
      <c r="U499" s="410"/>
      <c r="V499" s="410"/>
      <c r="W499" s="353"/>
    </row>
    <row r="500" spans="1:23" s="354" customFormat="1" ht="23.1" customHeight="1">
      <c r="A500" s="409"/>
      <c r="B500" s="409"/>
      <c r="C500" s="410"/>
      <c r="D500" s="410"/>
      <c r="E500" s="410"/>
      <c r="F500" s="410"/>
      <c r="G500" s="410"/>
      <c r="H500" s="410"/>
      <c r="I500" s="410"/>
      <c r="J500" s="410"/>
      <c r="K500" s="410"/>
      <c r="L500" s="410"/>
      <c r="M500" s="410"/>
      <c r="N500" s="410"/>
      <c r="O500" s="410"/>
      <c r="P500" s="410"/>
      <c r="Q500" s="410"/>
      <c r="R500" s="410"/>
      <c r="S500" s="410"/>
      <c r="T500" s="410"/>
      <c r="U500" s="410"/>
      <c r="V500" s="410"/>
      <c r="W500" s="353"/>
    </row>
    <row r="501" spans="1:23" s="354" customFormat="1" ht="23.1" customHeight="1">
      <c r="A501" s="409"/>
      <c r="B501" s="409"/>
      <c r="C501" s="410"/>
      <c r="D501" s="410"/>
      <c r="E501" s="410"/>
      <c r="F501" s="410"/>
      <c r="G501" s="410"/>
      <c r="H501" s="410"/>
      <c r="I501" s="410"/>
      <c r="J501" s="410"/>
      <c r="K501" s="410"/>
      <c r="L501" s="410"/>
      <c r="M501" s="410"/>
      <c r="N501" s="410"/>
      <c r="O501" s="410"/>
      <c r="P501" s="410"/>
      <c r="Q501" s="410"/>
      <c r="R501" s="410"/>
      <c r="S501" s="410"/>
      <c r="T501" s="410"/>
      <c r="U501" s="410"/>
      <c r="V501" s="410"/>
      <c r="W501" s="353"/>
    </row>
    <row r="502" spans="1:23" s="354" customFormat="1" ht="23.1" customHeight="1">
      <c r="A502" s="409"/>
      <c r="B502" s="409"/>
      <c r="C502" s="410"/>
      <c r="D502" s="410"/>
      <c r="E502" s="410"/>
      <c r="F502" s="410"/>
      <c r="G502" s="410"/>
      <c r="H502" s="410"/>
      <c r="I502" s="410"/>
      <c r="J502" s="410"/>
      <c r="K502" s="410"/>
      <c r="L502" s="410"/>
      <c r="M502" s="410"/>
      <c r="N502" s="410"/>
      <c r="O502" s="410"/>
      <c r="P502" s="410"/>
      <c r="Q502" s="410"/>
      <c r="R502" s="410"/>
      <c r="S502" s="410"/>
      <c r="T502" s="410"/>
      <c r="U502" s="410"/>
      <c r="V502" s="410"/>
      <c r="W502" s="353"/>
    </row>
  </sheetData>
  <mergeCells count="20">
    <mergeCell ref="A23:A24"/>
    <mergeCell ref="P4:P6"/>
    <mergeCell ref="V5:V7"/>
    <mergeCell ref="W6:AB6"/>
    <mergeCell ref="A7:A8"/>
    <mergeCell ref="A9:A10"/>
    <mergeCell ref="A11:A12"/>
    <mergeCell ref="A13:A14"/>
    <mergeCell ref="A15:A16"/>
    <mergeCell ref="A17:A18"/>
    <mergeCell ref="A19:A20"/>
    <mergeCell ref="A21:A22"/>
    <mergeCell ref="A1:O1"/>
    <mergeCell ref="H2:O2"/>
    <mergeCell ref="A4:B6"/>
    <mergeCell ref="C4:E5"/>
    <mergeCell ref="F4:H5"/>
    <mergeCell ref="I4:K5"/>
    <mergeCell ref="L4:N5"/>
    <mergeCell ref="O4:O6"/>
  </mergeCells>
  <phoneticPr fontId="11" type="noConversion"/>
  <printOptions horizontalCentered="1"/>
  <pageMargins left="0.59055118110236227" right="0.39370078740157483" top="0.59055118110236227" bottom="0.98425196850393704" header="0.51181102362204722" footer="0.51181102362204722"/>
  <pageSetup paperSize="9" scale="71" orientation="portrait" r:id="rId1"/>
  <headerFooter alignWithMargins="0"/>
  <rowBreaks count="1" manualBreakCount="1">
    <brk id="24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9"/>
  <sheetViews>
    <sheetView showGridLines="0" showZeros="0" tabSelected="1" view="pageBreakPreview" zoomScale="160" zoomScaleSheetLayoutView="160" workbookViewId="0">
      <pane xSplit="4" ySplit="2" topLeftCell="E3" activePane="bottomRight" state="frozen"/>
      <selection activeCell="D6" sqref="D6"/>
      <selection pane="topRight" activeCell="D6" sqref="D6"/>
      <selection pane="bottomLeft" activeCell="D6" sqref="D6"/>
      <selection pane="bottomRight" activeCell="G8" sqref="G8"/>
    </sheetView>
  </sheetViews>
  <sheetFormatPr defaultRowHeight="11.25"/>
  <cols>
    <col min="1" max="3" width="3.77734375" style="113" customWidth="1"/>
    <col min="4" max="4" width="6.44140625" style="121" customWidth="1"/>
    <col min="5" max="5" width="3.77734375" style="113" customWidth="1"/>
    <col min="6" max="6" width="6.6640625" style="113" bestFit="1" customWidth="1"/>
    <col min="7" max="7" width="6.44140625" style="432" bestFit="1" customWidth="1"/>
    <col min="8" max="8" width="5.6640625" style="121" customWidth="1"/>
    <col min="9" max="9" width="4.5546875" style="505" customWidth="1"/>
    <col min="10" max="10" width="12.44140625" style="505" bestFit="1" customWidth="1"/>
    <col min="11" max="11" width="3.88671875" style="113" bestFit="1" customWidth="1"/>
    <col min="12" max="12" width="12.44140625" style="113" bestFit="1" customWidth="1"/>
    <col min="13" max="13" width="9.44140625" style="505" bestFit="1" customWidth="1"/>
    <col min="14" max="14" width="4" style="113" bestFit="1" customWidth="1"/>
    <col min="15" max="16384" width="8.88671875" style="113"/>
  </cols>
  <sheetData>
    <row r="1" spans="1:14" ht="30" customHeight="1">
      <c r="A1" s="510" t="s">
        <v>99</v>
      </c>
      <c r="B1" s="510"/>
      <c r="C1" s="511" t="s">
        <v>639</v>
      </c>
      <c r="D1" s="511" t="s">
        <v>72</v>
      </c>
      <c r="E1" s="512" t="s">
        <v>28</v>
      </c>
      <c r="F1" s="512" t="s">
        <v>638</v>
      </c>
      <c r="G1" s="512" t="s">
        <v>513</v>
      </c>
      <c r="H1" s="512" t="s">
        <v>640</v>
      </c>
      <c r="I1" s="513" t="s">
        <v>641</v>
      </c>
      <c r="J1" s="513"/>
      <c r="K1" s="510" t="s">
        <v>642</v>
      </c>
      <c r="L1" s="510"/>
      <c r="M1" s="513"/>
      <c r="N1" s="512" t="s">
        <v>22</v>
      </c>
    </row>
    <row r="2" spans="1:14" ht="30" customHeight="1">
      <c r="A2" s="514" t="s">
        <v>480</v>
      </c>
      <c r="B2" s="514" t="s">
        <v>481</v>
      </c>
      <c r="C2" s="511"/>
      <c r="D2" s="511"/>
      <c r="E2" s="512"/>
      <c r="F2" s="512"/>
      <c r="G2" s="512"/>
      <c r="H2" s="512"/>
      <c r="I2" s="437" t="s">
        <v>643</v>
      </c>
      <c r="J2" s="514" t="s">
        <v>644</v>
      </c>
      <c r="K2" s="514" t="s">
        <v>645</v>
      </c>
      <c r="L2" s="514" t="s">
        <v>644</v>
      </c>
      <c r="M2" s="437" t="s">
        <v>482</v>
      </c>
      <c r="N2" s="512"/>
    </row>
    <row r="3" spans="1:14" s="158" customFormat="1" ht="30" customHeight="1">
      <c r="A3" s="515">
        <v>1</v>
      </c>
      <c r="B3" s="515"/>
      <c r="C3" s="515" t="s">
        <v>488</v>
      </c>
      <c r="D3" s="516" t="s">
        <v>463</v>
      </c>
      <c r="E3" s="517" t="s">
        <v>443</v>
      </c>
      <c r="F3" s="518">
        <v>21</v>
      </c>
      <c r="G3" s="518">
        <v>21</v>
      </c>
      <c r="H3" s="500"/>
      <c r="I3" s="501" t="s">
        <v>514</v>
      </c>
      <c r="J3" s="501" t="s">
        <v>515</v>
      </c>
      <c r="K3" s="501" t="s">
        <v>516</v>
      </c>
      <c r="L3" s="501" t="s">
        <v>517</v>
      </c>
      <c r="M3" s="501"/>
      <c r="N3" s="506"/>
    </row>
    <row r="4" spans="1:14" s="158" customFormat="1" ht="30" customHeight="1">
      <c r="A4" s="515">
        <v>2</v>
      </c>
      <c r="B4" s="515"/>
      <c r="C4" s="515" t="s">
        <v>512</v>
      </c>
      <c r="D4" s="516">
        <v>562</v>
      </c>
      <c r="E4" s="517" t="s">
        <v>61</v>
      </c>
      <c r="F4" s="518">
        <v>312</v>
      </c>
      <c r="G4" s="518">
        <v>1</v>
      </c>
      <c r="H4" s="500"/>
      <c r="I4" s="501" t="s">
        <v>514</v>
      </c>
      <c r="J4" s="501" t="s">
        <v>515</v>
      </c>
      <c r="K4" s="501" t="s">
        <v>516</v>
      </c>
      <c r="L4" s="501" t="s">
        <v>517</v>
      </c>
      <c r="M4" s="501"/>
      <c r="N4" s="506"/>
    </row>
    <row r="5" spans="1:14" s="158" customFormat="1" ht="30" customHeight="1">
      <c r="A5" s="515">
        <v>3</v>
      </c>
      <c r="B5" s="515"/>
      <c r="C5" s="515" t="s">
        <v>512</v>
      </c>
      <c r="D5" s="516" t="s">
        <v>444</v>
      </c>
      <c r="E5" s="517" t="s">
        <v>63</v>
      </c>
      <c r="F5" s="518">
        <v>19</v>
      </c>
      <c r="G5" s="518">
        <v>19</v>
      </c>
      <c r="H5" s="500"/>
      <c r="I5" s="501" t="s">
        <v>514</v>
      </c>
      <c r="J5" s="501" t="s">
        <v>515</v>
      </c>
      <c r="K5" s="501" t="s">
        <v>516</v>
      </c>
      <c r="L5" s="501" t="s">
        <v>517</v>
      </c>
      <c r="M5" s="501"/>
      <c r="N5" s="506"/>
    </row>
    <row r="6" spans="1:14" s="158" customFormat="1" ht="30" customHeight="1">
      <c r="A6" s="515">
        <v>4</v>
      </c>
      <c r="B6" s="515">
        <v>1</v>
      </c>
      <c r="C6" s="515" t="s">
        <v>512</v>
      </c>
      <c r="D6" s="516">
        <v>564</v>
      </c>
      <c r="E6" s="517" t="s">
        <v>62</v>
      </c>
      <c r="F6" s="518">
        <v>2770</v>
      </c>
      <c r="G6" s="518">
        <v>172</v>
      </c>
      <c r="H6" s="500"/>
      <c r="I6" s="501" t="s">
        <v>518</v>
      </c>
      <c r="J6" s="501" t="s">
        <v>519</v>
      </c>
      <c r="K6" s="501" t="s">
        <v>516</v>
      </c>
      <c r="L6" s="501" t="s">
        <v>517</v>
      </c>
      <c r="M6" s="501"/>
      <c r="N6" s="240"/>
    </row>
    <row r="7" spans="1:14" s="158" customFormat="1" ht="30" customHeight="1">
      <c r="A7" s="515">
        <v>4</v>
      </c>
      <c r="B7" s="515">
        <v>2</v>
      </c>
      <c r="C7" s="515" t="s">
        <v>512</v>
      </c>
      <c r="D7" s="516">
        <v>564</v>
      </c>
      <c r="E7" s="517" t="s">
        <v>62</v>
      </c>
      <c r="F7" s="518">
        <v>2770</v>
      </c>
      <c r="G7" s="518">
        <v>172</v>
      </c>
      <c r="H7" s="500"/>
      <c r="I7" s="501" t="s">
        <v>520</v>
      </c>
      <c r="J7" s="501" t="s">
        <v>521</v>
      </c>
      <c r="K7" s="501" t="s">
        <v>516</v>
      </c>
      <c r="L7" s="501" t="s">
        <v>517</v>
      </c>
      <c r="M7" s="501"/>
      <c r="N7" s="240"/>
    </row>
    <row r="8" spans="1:14" s="158" customFormat="1" ht="30" customHeight="1">
      <c r="A8" s="515">
        <v>5</v>
      </c>
      <c r="B8" s="515"/>
      <c r="C8" s="515" t="s">
        <v>512</v>
      </c>
      <c r="D8" s="516">
        <v>554</v>
      </c>
      <c r="E8" s="517" t="s">
        <v>62</v>
      </c>
      <c r="F8" s="518">
        <v>1408</v>
      </c>
      <c r="G8" s="518">
        <v>80</v>
      </c>
      <c r="H8" s="500"/>
      <c r="I8" s="501" t="s">
        <v>522</v>
      </c>
      <c r="J8" s="501" t="s">
        <v>523</v>
      </c>
      <c r="K8" s="501" t="s">
        <v>516</v>
      </c>
      <c r="L8" s="501" t="s">
        <v>517</v>
      </c>
      <c r="M8" s="501"/>
      <c r="N8" s="506"/>
    </row>
    <row r="9" spans="1:14" s="158" customFormat="1" ht="30" customHeight="1">
      <c r="A9" s="515">
        <v>6</v>
      </c>
      <c r="B9" s="515"/>
      <c r="C9" s="515" t="s">
        <v>512</v>
      </c>
      <c r="D9" s="516" t="s">
        <v>363</v>
      </c>
      <c r="E9" s="517" t="s">
        <v>63</v>
      </c>
      <c r="F9" s="518">
        <v>68</v>
      </c>
      <c r="G9" s="518">
        <v>68</v>
      </c>
      <c r="H9" s="500"/>
      <c r="I9" s="501" t="s">
        <v>522</v>
      </c>
      <c r="J9" s="501" t="s">
        <v>523</v>
      </c>
      <c r="K9" s="501" t="s">
        <v>516</v>
      </c>
      <c r="L9" s="501" t="s">
        <v>517</v>
      </c>
      <c r="M9" s="501"/>
      <c r="N9" s="240"/>
    </row>
    <row r="10" spans="1:14" s="158" customFormat="1" ht="30" customHeight="1">
      <c r="A10" s="515">
        <v>7</v>
      </c>
      <c r="B10" s="515"/>
      <c r="C10" s="515" t="s">
        <v>512</v>
      </c>
      <c r="D10" s="516">
        <v>552</v>
      </c>
      <c r="E10" s="517" t="s">
        <v>61</v>
      </c>
      <c r="F10" s="518">
        <v>505</v>
      </c>
      <c r="G10" s="518">
        <v>27</v>
      </c>
      <c r="H10" s="500"/>
      <c r="I10" s="501" t="s">
        <v>522</v>
      </c>
      <c r="J10" s="501" t="s">
        <v>523</v>
      </c>
      <c r="K10" s="501" t="s">
        <v>516</v>
      </c>
      <c r="L10" s="501" t="s">
        <v>517</v>
      </c>
      <c r="M10" s="501"/>
      <c r="N10" s="506"/>
    </row>
    <row r="11" spans="1:14" s="158" customFormat="1" ht="30" customHeight="1">
      <c r="A11" s="515">
        <v>8</v>
      </c>
      <c r="B11" s="515"/>
      <c r="C11" s="515" t="s">
        <v>512</v>
      </c>
      <c r="D11" s="516" t="s">
        <v>364</v>
      </c>
      <c r="E11" s="517" t="s">
        <v>63</v>
      </c>
      <c r="F11" s="518">
        <v>12</v>
      </c>
      <c r="G11" s="518">
        <v>12</v>
      </c>
      <c r="H11" s="500"/>
      <c r="I11" s="501" t="s">
        <v>522</v>
      </c>
      <c r="J11" s="501" t="s">
        <v>523</v>
      </c>
      <c r="K11" s="501" t="s">
        <v>516</v>
      </c>
      <c r="L11" s="501" t="s">
        <v>517</v>
      </c>
      <c r="M11" s="501"/>
      <c r="N11" s="506"/>
    </row>
    <row r="12" spans="1:14" s="158" customFormat="1" ht="30" customHeight="1">
      <c r="A12" s="515">
        <v>9</v>
      </c>
      <c r="B12" s="515"/>
      <c r="C12" s="515" t="s">
        <v>512</v>
      </c>
      <c r="D12" s="516" t="s">
        <v>365</v>
      </c>
      <c r="E12" s="517" t="s">
        <v>63</v>
      </c>
      <c r="F12" s="518">
        <v>62</v>
      </c>
      <c r="G12" s="518">
        <v>23</v>
      </c>
      <c r="H12" s="500"/>
      <c r="I12" s="501" t="s">
        <v>524</v>
      </c>
      <c r="J12" s="501" t="s">
        <v>525</v>
      </c>
      <c r="K12" s="501" t="s">
        <v>526</v>
      </c>
      <c r="L12" s="501" t="s">
        <v>527</v>
      </c>
      <c r="M12" s="501" t="s">
        <v>511</v>
      </c>
      <c r="N12" s="506"/>
    </row>
    <row r="13" spans="1:14" s="158" customFormat="1" ht="30" customHeight="1">
      <c r="A13" s="515">
        <v>10</v>
      </c>
      <c r="B13" s="515"/>
      <c r="C13" s="515" t="s">
        <v>512</v>
      </c>
      <c r="D13" s="516" t="s">
        <v>366</v>
      </c>
      <c r="E13" s="517" t="s">
        <v>63</v>
      </c>
      <c r="F13" s="518">
        <v>112</v>
      </c>
      <c r="G13" s="518">
        <v>1</v>
      </c>
      <c r="H13" s="500"/>
      <c r="I13" s="501" t="s">
        <v>524</v>
      </c>
      <c r="J13" s="501" t="s">
        <v>525</v>
      </c>
      <c r="K13" s="501" t="s">
        <v>526</v>
      </c>
      <c r="L13" s="501" t="s">
        <v>527</v>
      </c>
      <c r="M13" s="501" t="s">
        <v>511</v>
      </c>
      <c r="N13" s="507"/>
    </row>
    <row r="14" spans="1:14" s="158" customFormat="1" ht="30" customHeight="1">
      <c r="A14" s="515">
        <v>11</v>
      </c>
      <c r="B14" s="515">
        <v>1</v>
      </c>
      <c r="C14" s="515" t="s">
        <v>512</v>
      </c>
      <c r="D14" s="516">
        <v>544</v>
      </c>
      <c r="E14" s="517" t="s">
        <v>61</v>
      </c>
      <c r="F14" s="518">
        <v>486</v>
      </c>
      <c r="G14" s="518">
        <v>156</v>
      </c>
      <c r="H14" s="500"/>
      <c r="I14" s="501" t="s">
        <v>528</v>
      </c>
      <c r="J14" s="501" t="s">
        <v>529</v>
      </c>
      <c r="K14" s="501" t="s">
        <v>530</v>
      </c>
      <c r="L14" s="501" t="s">
        <v>531</v>
      </c>
      <c r="M14" s="501" t="s">
        <v>487</v>
      </c>
      <c r="N14" s="240"/>
    </row>
    <row r="15" spans="1:14" s="158" customFormat="1" ht="30" customHeight="1">
      <c r="A15" s="515">
        <v>11</v>
      </c>
      <c r="B15" s="515">
        <v>2</v>
      </c>
      <c r="C15" s="515" t="s">
        <v>512</v>
      </c>
      <c r="D15" s="516">
        <v>544</v>
      </c>
      <c r="E15" s="517" t="s">
        <v>61</v>
      </c>
      <c r="F15" s="518">
        <v>486</v>
      </c>
      <c r="G15" s="518">
        <v>156</v>
      </c>
      <c r="H15" s="500"/>
      <c r="I15" s="501" t="s">
        <v>532</v>
      </c>
      <c r="J15" s="501" t="s">
        <v>533</v>
      </c>
      <c r="K15" s="501" t="s">
        <v>516</v>
      </c>
      <c r="L15" s="501" t="s">
        <v>517</v>
      </c>
      <c r="M15" s="501"/>
      <c r="N15" s="240"/>
    </row>
    <row r="16" spans="1:14" s="158" customFormat="1" ht="30" customHeight="1">
      <c r="A16" s="515">
        <v>12</v>
      </c>
      <c r="B16" s="515"/>
      <c r="C16" s="515" t="s">
        <v>512</v>
      </c>
      <c r="D16" s="516">
        <v>545</v>
      </c>
      <c r="E16" s="517" t="s">
        <v>61</v>
      </c>
      <c r="F16" s="518">
        <v>330</v>
      </c>
      <c r="G16" s="518">
        <v>53</v>
      </c>
      <c r="H16" s="500"/>
      <c r="I16" s="501" t="s">
        <v>534</v>
      </c>
      <c r="J16" s="501" t="s">
        <v>535</v>
      </c>
      <c r="K16" s="501" t="s">
        <v>536</v>
      </c>
      <c r="L16" s="501" t="s">
        <v>537</v>
      </c>
      <c r="M16" s="501" t="s">
        <v>483</v>
      </c>
      <c r="N16" s="506"/>
    </row>
    <row r="17" spans="1:14" s="158" customFormat="1" ht="30" customHeight="1">
      <c r="A17" s="515">
        <v>13</v>
      </c>
      <c r="B17" s="515"/>
      <c r="C17" s="515" t="s">
        <v>512</v>
      </c>
      <c r="D17" s="516" t="s">
        <v>367</v>
      </c>
      <c r="E17" s="517" t="s">
        <v>63</v>
      </c>
      <c r="F17" s="518">
        <v>10</v>
      </c>
      <c r="G17" s="518">
        <v>10</v>
      </c>
      <c r="H17" s="500"/>
      <c r="I17" s="501" t="s">
        <v>534</v>
      </c>
      <c r="J17" s="501" t="s">
        <v>535</v>
      </c>
      <c r="K17" s="501" t="s">
        <v>536</v>
      </c>
      <c r="L17" s="501" t="s">
        <v>537</v>
      </c>
      <c r="M17" s="501" t="s">
        <v>483</v>
      </c>
      <c r="N17" s="506"/>
    </row>
    <row r="18" spans="1:14" s="158" customFormat="1" ht="30" customHeight="1">
      <c r="A18" s="515">
        <v>14</v>
      </c>
      <c r="B18" s="515"/>
      <c r="C18" s="515" t="s">
        <v>512</v>
      </c>
      <c r="D18" s="516" t="s">
        <v>368</v>
      </c>
      <c r="E18" s="517" t="s">
        <v>62</v>
      </c>
      <c r="F18" s="518">
        <v>545</v>
      </c>
      <c r="G18" s="518">
        <v>14</v>
      </c>
      <c r="H18" s="500"/>
      <c r="I18" s="501" t="s">
        <v>534</v>
      </c>
      <c r="J18" s="501" t="s">
        <v>535</v>
      </c>
      <c r="K18" s="501" t="s">
        <v>536</v>
      </c>
      <c r="L18" s="501" t="s">
        <v>537</v>
      </c>
      <c r="M18" s="501" t="s">
        <v>483</v>
      </c>
      <c r="N18" s="507"/>
    </row>
    <row r="19" spans="1:14" s="158" customFormat="1" ht="30" customHeight="1">
      <c r="A19" s="515">
        <v>15</v>
      </c>
      <c r="B19" s="515"/>
      <c r="C19" s="515" t="s">
        <v>512</v>
      </c>
      <c r="D19" s="516">
        <v>539</v>
      </c>
      <c r="E19" s="517" t="s">
        <v>66</v>
      </c>
      <c r="F19" s="518">
        <v>1828</v>
      </c>
      <c r="G19" s="518">
        <v>192</v>
      </c>
      <c r="H19" s="500"/>
      <c r="I19" s="501" t="s">
        <v>514</v>
      </c>
      <c r="J19" s="501" t="s">
        <v>538</v>
      </c>
      <c r="K19" s="501" t="s">
        <v>516</v>
      </c>
      <c r="L19" s="501" t="s">
        <v>517</v>
      </c>
      <c r="M19" s="501"/>
      <c r="N19" s="506"/>
    </row>
    <row r="20" spans="1:14" s="158" customFormat="1" ht="30" customHeight="1">
      <c r="A20" s="515">
        <v>16</v>
      </c>
      <c r="B20" s="515"/>
      <c r="C20" s="515" t="s">
        <v>512</v>
      </c>
      <c r="D20" s="516" t="s">
        <v>369</v>
      </c>
      <c r="E20" s="517" t="s">
        <v>62</v>
      </c>
      <c r="F20" s="518">
        <v>4</v>
      </c>
      <c r="G20" s="518">
        <v>4</v>
      </c>
      <c r="H20" s="500"/>
      <c r="I20" s="501" t="s">
        <v>532</v>
      </c>
      <c r="J20" s="501" t="s">
        <v>539</v>
      </c>
      <c r="K20" s="501" t="s">
        <v>516</v>
      </c>
      <c r="L20" s="501" t="s">
        <v>517</v>
      </c>
      <c r="M20" s="501"/>
      <c r="N20" s="506"/>
    </row>
    <row r="21" spans="1:14" s="158" customFormat="1" ht="30" customHeight="1">
      <c r="A21" s="515">
        <v>17</v>
      </c>
      <c r="B21" s="515"/>
      <c r="C21" s="515" t="s">
        <v>512</v>
      </c>
      <c r="D21" s="519" t="s">
        <v>370</v>
      </c>
      <c r="E21" s="517" t="s">
        <v>66</v>
      </c>
      <c r="F21" s="518">
        <v>826</v>
      </c>
      <c r="G21" s="518">
        <v>38</v>
      </c>
      <c r="H21" s="500"/>
      <c r="I21" s="501" t="s">
        <v>532</v>
      </c>
      <c r="J21" s="501" t="s">
        <v>540</v>
      </c>
      <c r="K21" s="501" t="s">
        <v>516</v>
      </c>
      <c r="L21" s="501" t="s">
        <v>517</v>
      </c>
      <c r="M21" s="501"/>
      <c r="N21" s="506"/>
    </row>
    <row r="22" spans="1:14" s="158" customFormat="1" ht="30" customHeight="1">
      <c r="A22" s="515">
        <v>18</v>
      </c>
      <c r="B22" s="515"/>
      <c r="C22" s="515" t="s">
        <v>512</v>
      </c>
      <c r="D22" s="519" t="s">
        <v>371</v>
      </c>
      <c r="E22" s="517" t="s">
        <v>66</v>
      </c>
      <c r="F22" s="518">
        <v>862</v>
      </c>
      <c r="G22" s="518">
        <v>3</v>
      </c>
      <c r="H22" s="500"/>
      <c r="I22" s="501" t="s">
        <v>532</v>
      </c>
      <c r="J22" s="501" t="s">
        <v>541</v>
      </c>
      <c r="K22" s="501" t="s">
        <v>516</v>
      </c>
      <c r="L22" s="501" t="s">
        <v>517</v>
      </c>
      <c r="M22" s="501"/>
      <c r="N22" s="506"/>
    </row>
    <row r="23" spans="1:14" s="158" customFormat="1" ht="30" customHeight="1">
      <c r="A23" s="515">
        <v>19</v>
      </c>
      <c r="B23" s="515">
        <v>1</v>
      </c>
      <c r="C23" s="515" t="s">
        <v>512</v>
      </c>
      <c r="D23" s="519" t="s">
        <v>372</v>
      </c>
      <c r="E23" s="517" t="s">
        <v>62</v>
      </c>
      <c r="F23" s="518">
        <v>977</v>
      </c>
      <c r="G23" s="518">
        <v>151</v>
      </c>
      <c r="H23" s="500"/>
      <c r="I23" s="501" t="s">
        <v>514</v>
      </c>
      <c r="J23" s="501" t="s">
        <v>542</v>
      </c>
      <c r="K23" s="501" t="s">
        <v>516</v>
      </c>
      <c r="L23" s="501" t="s">
        <v>517</v>
      </c>
      <c r="M23" s="501"/>
      <c r="N23" s="508"/>
    </row>
    <row r="24" spans="1:14" s="158" customFormat="1" ht="30" customHeight="1">
      <c r="A24" s="515">
        <v>19</v>
      </c>
      <c r="B24" s="515">
        <v>2</v>
      </c>
      <c r="C24" s="515" t="s">
        <v>512</v>
      </c>
      <c r="D24" s="519" t="s">
        <v>372</v>
      </c>
      <c r="E24" s="517" t="s">
        <v>62</v>
      </c>
      <c r="F24" s="518">
        <v>977</v>
      </c>
      <c r="G24" s="518">
        <v>151</v>
      </c>
      <c r="H24" s="500"/>
      <c r="I24" s="501" t="s">
        <v>532</v>
      </c>
      <c r="J24" s="501" t="s">
        <v>542</v>
      </c>
      <c r="K24" s="501" t="s">
        <v>516</v>
      </c>
      <c r="L24" s="501" t="s">
        <v>517</v>
      </c>
      <c r="M24" s="501"/>
      <c r="N24" s="506"/>
    </row>
    <row r="25" spans="1:14" s="158" customFormat="1" ht="30" customHeight="1">
      <c r="A25" s="515">
        <v>20</v>
      </c>
      <c r="B25" s="515"/>
      <c r="C25" s="515" t="s">
        <v>512</v>
      </c>
      <c r="D25" s="519" t="s">
        <v>373</v>
      </c>
      <c r="E25" s="517" t="s">
        <v>67</v>
      </c>
      <c r="F25" s="518">
        <v>266</v>
      </c>
      <c r="G25" s="518">
        <v>264</v>
      </c>
      <c r="H25" s="500"/>
      <c r="I25" s="501" t="s">
        <v>514</v>
      </c>
      <c r="J25" s="501" t="s">
        <v>543</v>
      </c>
      <c r="K25" s="501" t="s">
        <v>516</v>
      </c>
      <c r="L25" s="501" t="s">
        <v>517</v>
      </c>
      <c r="M25" s="501"/>
      <c r="N25" s="506"/>
    </row>
    <row r="26" spans="1:14" s="158" customFormat="1" ht="30" customHeight="1">
      <c r="A26" s="515">
        <v>21</v>
      </c>
      <c r="B26" s="515"/>
      <c r="C26" s="515" t="s">
        <v>512</v>
      </c>
      <c r="D26" s="519" t="s">
        <v>374</v>
      </c>
      <c r="E26" s="517" t="s">
        <v>62</v>
      </c>
      <c r="F26" s="518">
        <v>330</v>
      </c>
      <c r="G26" s="518">
        <v>217</v>
      </c>
      <c r="H26" s="500"/>
      <c r="I26" s="501" t="s">
        <v>518</v>
      </c>
      <c r="J26" s="501" t="s">
        <v>544</v>
      </c>
      <c r="K26" s="501" t="s">
        <v>516</v>
      </c>
      <c r="L26" s="501" t="s">
        <v>517</v>
      </c>
      <c r="M26" s="501"/>
      <c r="N26" s="506"/>
    </row>
    <row r="27" spans="1:14" s="158" customFormat="1" ht="30" customHeight="1">
      <c r="A27" s="515">
        <v>22</v>
      </c>
      <c r="B27" s="515"/>
      <c r="C27" s="515" t="s">
        <v>512</v>
      </c>
      <c r="D27" s="519" t="s">
        <v>445</v>
      </c>
      <c r="E27" s="517" t="s">
        <v>63</v>
      </c>
      <c r="F27" s="518">
        <v>86</v>
      </c>
      <c r="G27" s="518">
        <v>86</v>
      </c>
      <c r="H27" s="500"/>
      <c r="I27" s="501" t="s">
        <v>545</v>
      </c>
      <c r="J27" s="501" t="s">
        <v>546</v>
      </c>
      <c r="K27" s="501" t="s">
        <v>530</v>
      </c>
      <c r="L27" s="501" t="s">
        <v>531</v>
      </c>
      <c r="M27" s="501" t="s">
        <v>486</v>
      </c>
      <c r="N27" s="506"/>
    </row>
    <row r="28" spans="1:14" s="158" customFormat="1" ht="30" customHeight="1">
      <c r="A28" s="515">
        <v>23</v>
      </c>
      <c r="B28" s="515"/>
      <c r="C28" s="515" t="s">
        <v>512</v>
      </c>
      <c r="D28" s="519" t="s">
        <v>375</v>
      </c>
      <c r="E28" s="517" t="s">
        <v>63</v>
      </c>
      <c r="F28" s="518">
        <v>5774</v>
      </c>
      <c r="G28" s="518">
        <v>134</v>
      </c>
      <c r="H28" s="500"/>
      <c r="I28" s="501" t="s">
        <v>547</v>
      </c>
      <c r="J28" s="501" t="s">
        <v>548</v>
      </c>
      <c r="K28" s="501" t="s">
        <v>516</v>
      </c>
      <c r="L28" s="501" t="s">
        <v>517</v>
      </c>
      <c r="M28" s="501"/>
      <c r="N28" s="506"/>
    </row>
    <row r="29" spans="1:14" s="158" customFormat="1" ht="30" customHeight="1">
      <c r="A29" s="515">
        <v>24</v>
      </c>
      <c r="B29" s="515"/>
      <c r="C29" s="515" t="s">
        <v>512</v>
      </c>
      <c r="D29" s="519" t="s">
        <v>376</v>
      </c>
      <c r="E29" s="517" t="s">
        <v>61</v>
      </c>
      <c r="F29" s="518">
        <v>258</v>
      </c>
      <c r="G29" s="518">
        <v>171</v>
      </c>
      <c r="H29" s="500"/>
      <c r="I29" s="501" t="s">
        <v>518</v>
      </c>
      <c r="J29" s="501" t="s">
        <v>549</v>
      </c>
      <c r="K29" s="501" t="s">
        <v>530</v>
      </c>
      <c r="L29" s="501" t="s">
        <v>531</v>
      </c>
      <c r="M29" s="501" t="s">
        <v>487</v>
      </c>
      <c r="N29" s="506"/>
    </row>
    <row r="30" spans="1:14" s="158" customFormat="1" ht="30" customHeight="1">
      <c r="A30" s="515">
        <v>25</v>
      </c>
      <c r="B30" s="515"/>
      <c r="C30" s="515" t="s">
        <v>512</v>
      </c>
      <c r="D30" s="519" t="s">
        <v>377</v>
      </c>
      <c r="E30" s="517" t="s">
        <v>62</v>
      </c>
      <c r="F30" s="518">
        <v>456</v>
      </c>
      <c r="G30" s="518">
        <v>61</v>
      </c>
      <c r="H30" s="500"/>
      <c r="I30" s="501" t="s">
        <v>518</v>
      </c>
      <c r="J30" s="501" t="s">
        <v>544</v>
      </c>
      <c r="K30" s="501" t="s">
        <v>516</v>
      </c>
      <c r="L30" s="501" t="s">
        <v>517</v>
      </c>
      <c r="M30" s="501"/>
      <c r="N30" s="507"/>
    </row>
    <row r="31" spans="1:14" s="158" customFormat="1" ht="30" customHeight="1">
      <c r="A31" s="515">
        <v>26</v>
      </c>
      <c r="B31" s="515"/>
      <c r="C31" s="515" t="s">
        <v>512</v>
      </c>
      <c r="D31" s="516">
        <v>501</v>
      </c>
      <c r="E31" s="517" t="s">
        <v>62</v>
      </c>
      <c r="F31" s="518">
        <v>2258</v>
      </c>
      <c r="G31" s="518">
        <v>829</v>
      </c>
      <c r="H31" s="502"/>
      <c r="I31" s="501" t="s">
        <v>524</v>
      </c>
      <c r="J31" s="501" t="s">
        <v>550</v>
      </c>
      <c r="K31" s="501" t="s">
        <v>516</v>
      </c>
      <c r="L31" s="501" t="s">
        <v>517</v>
      </c>
      <c r="M31" s="501"/>
      <c r="N31" s="506"/>
    </row>
    <row r="32" spans="1:14" s="158" customFormat="1" ht="30" customHeight="1">
      <c r="A32" s="515">
        <v>27</v>
      </c>
      <c r="B32" s="515">
        <v>1</v>
      </c>
      <c r="C32" s="515" t="s">
        <v>512</v>
      </c>
      <c r="D32" s="516">
        <v>484</v>
      </c>
      <c r="E32" s="517" t="s">
        <v>62</v>
      </c>
      <c r="F32" s="518">
        <v>476</v>
      </c>
      <c r="G32" s="518">
        <v>15</v>
      </c>
      <c r="H32" s="503" t="s">
        <v>489</v>
      </c>
      <c r="I32" s="501" t="s">
        <v>514</v>
      </c>
      <c r="J32" s="501" t="s">
        <v>551</v>
      </c>
      <c r="K32" s="501" t="s">
        <v>552</v>
      </c>
      <c r="L32" s="501" t="s">
        <v>553</v>
      </c>
      <c r="M32" s="501" t="s">
        <v>483</v>
      </c>
      <c r="N32" s="240"/>
    </row>
    <row r="33" spans="1:14" s="158" customFormat="1" ht="30" customHeight="1">
      <c r="A33" s="515">
        <v>27</v>
      </c>
      <c r="B33" s="515">
        <v>2</v>
      </c>
      <c r="C33" s="515" t="s">
        <v>512</v>
      </c>
      <c r="D33" s="516">
        <v>484</v>
      </c>
      <c r="E33" s="517" t="s">
        <v>62</v>
      </c>
      <c r="F33" s="518">
        <v>476</v>
      </c>
      <c r="G33" s="518">
        <v>15</v>
      </c>
      <c r="H33" s="503" t="s">
        <v>490</v>
      </c>
      <c r="I33" s="501" t="s">
        <v>554</v>
      </c>
      <c r="J33" s="501" t="s">
        <v>551</v>
      </c>
      <c r="K33" s="501" t="s">
        <v>516</v>
      </c>
      <c r="L33" s="501" t="s">
        <v>517</v>
      </c>
      <c r="M33" s="501"/>
      <c r="N33" s="240"/>
    </row>
    <row r="34" spans="1:14" s="158" customFormat="1" ht="30" customHeight="1">
      <c r="A34" s="515">
        <v>27</v>
      </c>
      <c r="B34" s="515">
        <v>3</v>
      </c>
      <c r="C34" s="515" t="s">
        <v>512</v>
      </c>
      <c r="D34" s="516">
        <v>484</v>
      </c>
      <c r="E34" s="517" t="s">
        <v>62</v>
      </c>
      <c r="F34" s="518">
        <v>476</v>
      </c>
      <c r="G34" s="518">
        <v>15</v>
      </c>
      <c r="H34" s="503" t="s">
        <v>490</v>
      </c>
      <c r="I34" s="501" t="s">
        <v>514</v>
      </c>
      <c r="J34" s="501" t="s">
        <v>551</v>
      </c>
      <c r="K34" s="501" t="s">
        <v>552</v>
      </c>
      <c r="L34" s="501" t="s">
        <v>553</v>
      </c>
      <c r="M34" s="501" t="s">
        <v>483</v>
      </c>
      <c r="N34" s="240"/>
    </row>
    <row r="35" spans="1:14" s="158" customFormat="1" ht="30" customHeight="1">
      <c r="A35" s="515">
        <v>28</v>
      </c>
      <c r="B35" s="515"/>
      <c r="C35" s="515" t="s">
        <v>512</v>
      </c>
      <c r="D35" s="516">
        <v>847</v>
      </c>
      <c r="E35" s="517" t="s">
        <v>63</v>
      </c>
      <c r="F35" s="518">
        <v>417</v>
      </c>
      <c r="G35" s="518">
        <v>179</v>
      </c>
      <c r="H35" s="500"/>
      <c r="I35" s="501" t="s">
        <v>547</v>
      </c>
      <c r="J35" s="501" t="s">
        <v>548</v>
      </c>
      <c r="K35" s="501" t="s">
        <v>516</v>
      </c>
      <c r="L35" s="501" t="s">
        <v>517</v>
      </c>
      <c r="M35" s="501"/>
      <c r="N35" s="506"/>
    </row>
    <row r="36" spans="1:14" s="158" customFormat="1" ht="30" customHeight="1">
      <c r="A36" s="515">
        <v>29</v>
      </c>
      <c r="B36" s="515">
        <v>1</v>
      </c>
      <c r="C36" s="515" t="s">
        <v>512</v>
      </c>
      <c r="D36" s="520" t="s">
        <v>378</v>
      </c>
      <c r="E36" s="517" t="s">
        <v>62</v>
      </c>
      <c r="F36" s="521">
        <v>846</v>
      </c>
      <c r="G36" s="521">
        <v>456</v>
      </c>
      <c r="H36" s="503" t="s">
        <v>489</v>
      </c>
      <c r="I36" s="501" t="s">
        <v>514</v>
      </c>
      <c r="J36" s="501" t="s">
        <v>551</v>
      </c>
      <c r="K36" s="501" t="s">
        <v>516</v>
      </c>
      <c r="L36" s="501" t="s">
        <v>517</v>
      </c>
      <c r="M36" s="501"/>
      <c r="N36" s="240"/>
    </row>
    <row r="37" spans="1:14" s="158" customFormat="1" ht="30" customHeight="1">
      <c r="A37" s="515">
        <v>29</v>
      </c>
      <c r="B37" s="515">
        <v>2</v>
      </c>
      <c r="C37" s="515" t="s">
        <v>512</v>
      </c>
      <c r="D37" s="520" t="s">
        <v>378</v>
      </c>
      <c r="E37" s="517" t="s">
        <v>62</v>
      </c>
      <c r="F37" s="521">
        <v>846</v>
      </c>
      <c r="G37" s="521">
        <v>456</v>
      </c>
      <c r="H37" s="503" t="s">
        <v>490</v>
      </c>
      <c r="I37" s="501" t="s">
        <v>554</v>
      </c>
      <c r="J37" s="501" t="s">
        <v>551</v>
      </c>
      <c r="K37" s="501" t="s">
        <v>516</v>
      </c>
      <c r="L37" s="501" t="s">
        <v>517</v>
      </c>
      <c r="M37" s="501"/>
      <c r="N37" s="240"/>
    </row>
    <row r="38" spans="1:14" s="158" customFormat="1" ht="30" customHeight="1">
      <c r="A38" s="515">
        <v>29</v>
      </c>
      <c r="B38" s="515">
        <v>3</v>
      </c>
      <c r="C38" s="515" t="s">
        <v>512</v>
      </c>
      <c r="D38" s="520" t="s">
        <v>378</v>
      </c>
      <c r="E38" s="517" t="s">
        <v>62</v>
      </c>
      <c r="F38" s="521">
        <v>846</v>
      </c>
      <c r="G38" s="521">
        <v>456</v>
      </c>
      <c r="H38" s="503" t="s">
        <v>490</v>
      </c>
      <c r="I38" s="501" t="s">
        <v>514</v>
      </c>
      <c r="J38" s="501" t="s">
        <v>551</v>
      </c>
      <c r="K38" s="501" t="s">
        <v>516</v>
      </c>
      <c r="L38" s="501" t="s">
        <v>517</v>
      </c>
      <c r="M38" s="501"/>
      <c r="N38" s="240"/>
    </row>
    <row r="39" spans="1:14" s="158" customFormat="1" ht="30" customHeight="1">
      <c r="A39" s="515">
        <v>30</v>
      </c>
      <c r="B39" s="515">
        <v>1</v>
      </c>
      <c r="C39" s="515" t="s">
        <v>512</v>
      </c>
      <c r="D39" s="516" t="s">
        <v>379</v>
      </c>
      <c r="E39" s="517" t="s">
        <v>67</v>
      </c>
      <c r="F39" s="518">
        <v>807</v>
      </c>
      <c r="G39" s="518">
        <v>582</v>
      </c>
      <c r="H39" s="503" t="s">
        <v>489</v>
      </c>
      <c r="I39" s="501" t="s">
        <v>514</v>
      </c>
      <c r="J39" s="501" t="s">
        <v>551</v>
      </c>
      <c r="K39" s="501" t="s">
        <v>516</v>
      </c>
      <c r="L39" s="501" t="s">
        <v>517</v>
      </c>
      <c r="M39" s="501"/>
      <c r="N39" s="240"/>
    </row>
    <row r="40" spans="1:14" s="158" customFormat="1" ht="30" customHeight="1">
      <c r="A40" s="515">
        <v>30</v>
      </c>
      <c r="B40" s="515">
        <v>2</v>
      </c>
      <c r="C40" s="515" t="s">
        <v>512</v>
      </c>
      <c r="D40" s="516" t="s">
        <v>379</v>
      </c>
      <c r="E40" s="517" t="s">
        <v>67</v>
      </c>
      <c r="F40" s="518">
        <v>807</v>
      </c>
      <c r="G40" s="518">
        <v>582</v>
      </c>
      <c r="H40" s="503" t="s">
        <v>490</v>
      </c>
      <c r="I40" s="501" t="s">
        <v>554</v>
      </c>
      <c r="J40" s="501" t="s">
        <v>551</v>
      </c>
      <c r="K40" s="501" t="s">
        <v>516</v>
      </c>
      <c r="L40" s="501" t="s">
        <v>517</v>
      </c>
      <c r="M40" s="501"/>
      <c r="N40" s="240"/>
    </row>
    <row r="41" spans="1:14" s="158" customFormat="1" ht="30" customHeight="1">
      <c r="A41" s="515">
        <v>30</v>
      </c>
      <c r="B41" s="515">
        <v>3</v>
      </c>
      <c r="C41" s="515" t="s">
        <v>512</v>
      </c>
      <c r="D41" s="516" t="s">
        <v>379</v>
      </c>
      <c r="E41" s="517" t="s">
        <v>67</v>
      </c>
      <c r="F41" s="518">
        <v>807</v>
      </c>
      <c r="G41" s="518">
        <v>582</v>
      </c>
      <c r="H41" s="503" t="s">
        <v>490</v>
      </c>
      <c r="I41" s="501" t="s">
        <v>514</v>
      </c>
      <c r="J41" s="501" t="s">
        <v>551</v>
      </c>
      <c r="K41" s="501" t="s">
        <v>516</v>
      </c>
      <c r="L41" s="501" t="s">
        <v>517</v>
      </c>
      <c r="M41" s="501"/>
      <c r="N41" s="240"/>
    </row>
    <row r="42" spans="1:14" s="158" customFormat="1" ht="30" customHeight="1">
      <c r="A42" s="515">
        <v>31</v>
      </c>
      <c r="B42" s="515"/>
      <c r="C42" s="515" t="s">
        <v>512</v>
      </c>
      <c r="D42" s="516">
        <v>481</v>
      </c>
      <c r="E42" s="517" t="s">
        <v>62</v>
      </c>
      <c r="F42" s="518">
        <v>466</v>
      </c>
      <c r="G42" s="518">
        <v>73</v>
      </c>
      <c r="H42" s="500"/>
      <c r="I42" s="501" t="s">
        <v>514</v>
      </c>
      <c r="J42" s="501" t="s">
        <v>551</v>
      </c>
      <c r="K42" s="501" t="s">
        <v>516</v>
      </c>
      <c r="L42" s="501" t="s">
        <v>517</v>
      </c>
      <c r="M42" s="501"/>
      <c r="N42" s="240"/>
    </row>
    <row r="43" spans="1:14" s="158" customFormat="1" ht="30" customHeight="1">
      <c r="A43" s="515">
        <v>32</v>
      </c>
      <c r="B43" s="515"/>
      <c r="C43" s="515" t="s">
        <v>512</v>
      </c>
      <c r="D43" s="516" t="s">
        <v>380</v>
      </c>
      <c r="E43" s="517" t="s">
        <v>381</v>
      </c>
      <c r="F43" s="518">
        <v>724</v>
      </c>
      <c r="G43" s="518">
        <v>136</v>
      </c>
      <c r="H43" s="500"/>
      <c r="I43" s="501" t="s">
        <v>514</v>
      </c>
      <c r="J43" s="501" t="s">
        <v>551</v>
      </c>
      <c r="K43" s="501" t="s">
        <v>516</v>
      </c>
      <c r="L43" s="501" t="s">
        <v>517</v>
      </c>
      <c r="M43" s="501"/>
      <c r="N43" s="240"/>
    </row>
    <row r="44" spans="1:14" s="158" customFormat="1" ht="30" customHeight="1">
      <c r="A44" s="515">
        <v>33</v>
      </c>
      <c r="B44" s="515">
        <v>1</v>
      </c>
      <c r="C44" s="515" t="s">
        <v>512</v>
      </c>
      <c r="D44" s="516" t="s">
        <v>382</v>
      </c>
      <c r="E44" s="517" t="s">
        <v>64</v>
      </c>
      <c r="F44" s="518">
        <v>19736</v>
      </c>
      <c r="G44" s="518">
        <v>750</v>
      </c>
      <c r="H44" s="503" t="s">
        <v>484</v>
      </c>
      <c r="I44" s="501" t="s">
        <v>514</v>
      </c>
      <c r="J44" s="501" t="s">
        <v>551</v>
      </c>
      <c r="K44" s="501" t="s">
        <v>516</v>
      </c>
      <c r="L44" s="501" t="s">
        <v>517</v>
      </c>
      <c r="M44" s="501"/>
      <c r="N44" s="509"/>
    </row>
    <row r="45" spans="1:14" s="158" customFormat="1" ht="30" customHeight="1">
      <c r="A45" s="515">
        <v>33</v>
      </c>
      <c r="B45" s="515">
        <v>2</v>
      </c>
      <c r="C45" s="515" t="s">
        <v>512</v>
      </c>
      <c r="D45" s="516" t="s">
        <v>382</v>
      </c>
      <c r="E45" s="517" t="s">
        <v>381</v>
      </c>
      <c r="F45" s="518">
        <v>19736</v>
      </c>
      <c r="G45" s="518">
        <v>750</v>
      </c>
      <c r="H45" s="503" t="s">
        <v>484</v>
      </c>
      <c r="I45" s="501" t="s">
        <v>514</v>
      </c>
      <c r="J45" s="501" t="s">
        <v>555</v>
      </c>
      <c r="K45" s="501" t="s">
        <v>516</v>
      </c>
      <c r="L45" s="501" t="s">
        <v>517</v>
      </c>
      <c r="M45" s="501"/>
      <c r="N45" s="509"/>
    </row>
    <row r="46" spans="1:14" s="158" customFormat="1" ht="30" customHeight="1">
      <c r="A46" s="515">
        <v>34</v>
      </c>
      <c r="B46" s="515"/>
      <c r="C46" s="515" t="s">
        <v>512</v>
      </c>
      <c r="D46" s="516" t="s">
        <v>446</v>
      </c>
      <c r="E46" s="517" t="s">
        <v>381</v>
      </c>
      <c r="F46" s="518">
        <v>7761</v>
      </c>
      <c r="G46" s="518">
        <v>443</v>
      </c>
      <c r="H46" s="500"/>
      <c r="I46" s="501" t="s">
        <v>532</v>
      </c>
      <c r="J46" s="501" t="s">
        <v>556</v>
      </c>
      <c r="K46" s="501" t="s">
        <v>557</v>
      </c>
      <c r="L46" s="501" t="s">
        <v>558</v>
      </c>
      <c r="M46" s="501"/>
      <c r="N46" s="506"/>
    </row>
    <row r="47" spans="1:14" s="158" customFormat="1" ht="30" customHeight="1">
      <c r="A47" s="515">
        <v>35</v>
      </c>
      <c r="B47" s="515"/>
      <c r="C47" s="515" t="s">
        <v>512</v>
      </c>
      <c r="D47" s="516" t="s">
        <v>384</v>
      </c>
      <c r="E47" s="517" t="s">
        <v>67</v>
      </c>
      <c r="F47" s="518">
        <v>995</v>
      </c>
      <c r="G47" s="518">
        <v>86</v>
      </c>
      <c r="H47" s="500"/>
      <c r="I47" s="501" t="s">
        <v>559</v>
      </c>
      <c r="J47" s="501" t="s">
        <v>548</v>
      </c>
      <c r="K47" s="501" t="s">
        <v>516</v>
      </c>
      <c r="L47" s="501" t="s">
        <v>517</v>
      </c>
      <c r="M47" s="501"/>
      <c r="N47" s="509"/>
    </row>
    <row r="48" spans="1:14" s="158" customFormat="1" ht="30" customHeight="1">
      <c r="A48" s="515">
        <v>36</v>
      </c>
      <c r="B48" s="515"/>
      <c r="C48" s="515" t="s">
        <v>512</v>
      </c>
      <c r="D48" s="516" t="s">
        <v>385</v>
      </c>
      <c r="E48" s="517" t="s">
        <v>66</v>
      </c>
      <c r="F48" s="518">
        <v>538</v>
      </c>
      <c r="G48" s="518">
        <v>90</v>
      </c>
      <c r="H48" s="500"/>
      <c r="I48" s="501" t="s">
        <v>559</v>
      </c>
      <c r="J48" s="501" t="s">
        <v>548</v>
      </c>
      <c r="K48" s="501" t="s">
        <v>516</v>
      </c>
      <c r="L48" s="501" t="s">
        <v>517</v>
      </c>
      <c r="M48" s="501"/>
      <c r="N48" s="506"/>
    </row>
    <row r="49" spans="1:14" s="158" customFormat="1" ht="30" customHeight="1">
      <c r="A49" s="515">
        <v>37</v>
      </c>
      <c r="B49" s="515"/>
      <c r="C49" s="515" t="s">
        <v>512</v>
      </c>
      <c r="D49" s="516" t="s">
        <v>383</v>
      </c>
      <c r="E49" s="517" t="s">
        <v>63</v>
      </c>
      <c r="F49" s="518">
        <v>11</v>
      </c>
      <c r="G49" s="518">
        <v>11</v>
      </c>
      <c r="H49" s="500"/>
      <c r="I49" s="501" t="s">
        <v>559</v>
      </c>
      <c r="J49" s="501" t="s">
        <v>548</v>
      </c>
      <c r="K49" s="501" t="s">
        <v>516</v>
      </c>
      <c r="L49" s="501" t="s">
        <v>517</v>
      </c>
      <c r="M49" s="501"/>
      <c r="N49" s="507"/>
    </row>
    <row r="50" spans="1:14" s="158" customFormat="1" ht="30" customHeight="1">
      <c r="A50" s="515">
        <v>38</v>
      </c>
      <c r="B50" s="515"/>
      <c r="C50" s="515" t="s">
        <v>512</v>
      </c>
      <c r="D50" s="516" t="s">
        <v>468</v>
      </c>
      <c r="E50" s="517" t="s">
        <v>63</v>
      </c>
      <c r="F50" s="518">
        <v>5</v>
      </c>
      <c r="G50" s="518">
        <v>5</v>
      </c>
      <c r="H50" s="500"/>
      <c r="I50" s="501" t="s">
        <v>559</v>
      </c>
      <c r="J50" s="501" t="s">
        <v>548</v>
      </c>
      <c r="K50" s="501" t="s">
        <v>516</v>
      </c>
      <c r="L50" s="501" t="s">
        <v>517</v>
      </c>
      <c r="M50" s="501"/>
      <c r="N50" s="506"/>
    </row>
    <row r="51" spans="1:14" s="158" customFormat="1" ht="30" customHeight="1">
      <c r="A51" s="515">
        <v>39</v>
      </c>
      <c r="B51" s="515">
        <v>1</v>
      </c>
      <c r="C51" s="515" t="s">
        <v>512</v>
      </c>
      <c r="D51" s="516">
        <v>558</v>
      </c>
      <c r="E51" s="517" t="s">
        <v>66</v>
      </c>
      <c r="F51" s="518">
        <v>1328</v>
      </c>
      <c r="G51" s="518">
        <v>31</v>
      </c>
      <c r="H51" s="500" t="s">
        <v>499</v>
      </c>
      <c r="I51" s="501" t="s">
        <v>518</v>
      </c>
      <c r="J51" s="501" t="s">
        <v>544</v>
      </c>
      <c r="K51" s="501" t="s">
        <v>516</v>
      </c>
      <c r="L51" s="501" t="s">
        <v>517</v>
      </c>
      <c r="M51" s="501"/>
      <c r="N51" s="506"/>
    </row>
    <row r="52" spans="1:14" s="158" customFormat="1" ht="30" customHeight="1">
      <c r="A52" s="515">
        <v>39</v>
      </c>
      <c r="B52" s="515">
        <v>2</v>
      </c>
      <c r="C52" s="515" t="s">
        <v>512</v>
      </c>
      <c r="D52" s="516">
        <v>558</v>
      </c>
      <c r="E52" s="517" t="s">
        <v>66</v>
      </c>
      <c r="F52" s="518">
        <v>1328</v>
      </c>
      <c r="G52" s="518">
        <v>31</v>
      </c>
      <c r="H52" s="500" t="s">
        <v>500</v>
      </c>
      <c r="I52" s="501" t="s">
        <v>545</v>
      </c>
      <c r="J52" s="501" t="s">
        <v>523</v>
      </c>
      <c r="K52" s="501" t="s">
        <v>516</v>
      </c>
      <c r="L52" s="501" t="s">
        <v>517</v>
      </c>
      <c r="M52" s="501"/>
      <c r="N52" s="506"/>
    </row>
    <row r="53" spans="1:14" s="158" customFormat="1" ht="30" customHeight="1">
      <c r="A53" s="515">
        <v>40</v>
      </c>
      <c r="B53" s="515"/>
      <c r="C53" s="515" t="s">
        <v>512</v>
      </c>
      <c r="D53" s="516" t="s">
        <v>464</v>
      </c>
      <c r="E53" s="517" t="s">
        <v>66</v>
      </c>
      <c r="F53" s="518">
        <v>269</v>
      </c>
      <c r="G53" s="518">
        <v>269</v>
      </c>
      <c r="H53" s="500"/>
      <c r="I53" s="501" t="s">
        <v>559</v>
      </c>
      <c r="J53" s="501" t="s">
        <v>548</v>
      </c>
      <c r="K53" s="501" t="s">
        <v>516</v>
      </c>
      <c r="L53" s="501" t="s">
        <v>517</v>
      </c>
      <c r="M53" s="501"/>
      <c r="N53" s="506"/>
    </row>
    <row r="54" spans="1:14" s="158" customFormat="1" ht="30" customHeight="1">
      <c r="A54" s="515">
        <v>41</v>
      </c>
      <c r="B54" s="515"/>
      <c r="C54" s="515" t="s">
        <v>512</v>
      </c>
      <c r="D54" s="516" t="s">
        <v>386</v>
      </c>
      <c r="E54" s="517" t="s">
        <v>63</v>
      </c>
      <c r="F54" s="518">
        <v>78</v>
      </c>
      <c r="G54" s="518">
        <v>65</v>
      </c>
      <c r="H54" s="502"/>
      <c r="I54" s="501" t="s">
        <v>514</v>
      </c>
      <c r="J54" s="501" t="s">
        <v>515</v>
      </c>
      <c r="K54" s="501" t="s">
        <v>516</v>
      </c>
      <c r="L54" s="501" t="s">
        <v>517</v>
      </c>
      <c r="M54" s="501"/>
      <c r="N54" s="506"/>
    </row>
    <row r="55" spans="1:14" s="158" customFormat="1" ht="30" customHeight="1">
      <c r="A55" s="515">
        <v>42</v>
      </c>
      <c r="B55" s="515"/>
      <c r="C55" s="515" t="s">
        <v>512</v>
      </c>
      <c r="D55" s="516" t="s">
        <v>387</v>
      </c>
      <c r="E55" s="517" t="s">
        <v>63</v>
      </c>
      <c r="F55" s="518">
        <v>446</v>
      </c>
      <c r="G55" s="518">
        <v>24</v>
      </c>
      <c r="H55" s="500"/>
      <c r="I55" s="501" t="s">
        <v>514</v>
      </c>
      <c r="J55" s="501" t="s">
        <v>515</v>
      </c>
      <c r="K55" s="501" t="s">
        <v>516</v>
      </c>
      <c r="L55" s="501" t="s">
        <v>517</v>
      </c>
      <c r="M55" s="501"/>
      <c r="N55" s="240"/>
    </row>
    <row r="56" spans="1:14" s="158" customFormat="1" ht="30" customHeight="1">
      <c r="A56" s="515">
        <v>43</v>
      </c>
      <c r="B56" s="515"/>
      <c r="C56" s="515" t="s">
        <v>512</v>
      </c>
      <c r="D56" s="516" t="s">
        <v>388</v>
      </c>
      <c r="E56" s="517" t="s">
        <v>62</v>
      </c>
      <c r="F56" s="518">
        <v>2028</v>
      </c>
      <c r="G56" s="518">
        <v>328</v>
      </c>
      <c r="H56" s="502"/>
      <c r="I56" s="501" t="s">
        <v>514</v>
      </c>
      <c r="J56" s="501" t="s">
        <v>560</v>
      </c>
      <c r="K56" s="501" t="s">
        <v>516</v>
      </c>
      <c r="L56" s="501" t="s">
        <v>517</v>
      </c>
      <c r="M56" s="501"/>
      <c r="N56" s="507"/>
    </row>
    <row r="57" spans="1:14" s="158" customFormat="1" ht="30" customHeight="1">
      <c r="A57" s="515">
        <v>44</v>
      </c>
      <c r="B57" s="515"/>
      <c r="C57" s="515" t="s">
        <v>512</v>
      </c>
      <c r="D57" s="516" t="s">
        <v>447</v>
      </c>
      <c r="E57" s="517" t="s">
        <v>399</v>
      </c>
      <c r="F57" s="518">
        <v>11</v>
      </c>
      <c r="G57" s="518">
        <v>11</v>
      </c>
      <c r="H57" s="500"/>
      <c r="I57" s="501" t="s">
        <v>514</v>
      </c>
      <c r="J57" s="501" t="s">
        <v>515</v>
      </c>
      <c r="K57" s="501" t="s">
        <v>516</v>
      </c>
      <c r="L57" s="501" t="s">
        <v>517</v>
      </c>
      <c r="M57" s="501"/>
      <c r="N57" s="506"/>
    </row>
    <row r="58" spans="1:14" s="158" customFormat="1" ht="30" customHeight="1">
      <c r="A58" s="515">
        <v>45</v>
      </c>
      <c r="B58" s="515"/>
      <c r="C58" s="515" t="s">
        <v>512</v>
      </c>
      <c r="D58" s="516" t="s">
        <v>389</v>
      </c>
      <c r="E58" s="517" t="s">
        <v>63</v>
      </c>
      <c r="F58" s="518">
        <v>98</v>
      </c>
      <c r="G58" s="518">
        <v>98</v>
      </c>
      <c r="H58" s="502"/>
      <c r="I58" s="501" t="s">
        <v>514</v>
      </c>
      <c r="J58" s="501" t="s">
        <v>515</v>
      </c>
      <c r="K58" s="501" t="s">
        <v>516</v>
      </c>
      <c r="L58" s="501" t="s">
        <v>517</v>
      </c>
      <c r="M58" s="501"/>
      <c r="N58" s="506"/>
    </row>
    <row r="59" spans="1:14" s="158" customFormat="1" ht="30" customHeight="1">
      <c r="A59" s="515">
        <v>46</v>
      </c>
      <c r="B59" s="515"/>
      <c r="C59" s="515" t="s">
        <v>512</v>
      </c>
      <c r="D59" s="516">
        <v>845</v>
      </c>
      <c r="E59" s="517" t="s">
        <v>63</v>
      </c>
      <c r="F59" s="518">
        <v>1228</v>
      </c>
      <c r="G59" s="518">
        <v>793</v>
      </c>
      <c r="H59" s="500"/>
      <c r="I59" s="501" t="s">
        <v>547</v>
      </c>
      <c r="J59" s="501" t="s">
        <v>548</v>
      </c>
      <c r="K59" s="501" t="s">
        <v>516</v>
      </c>
      <c r="L59" s="501" t="s">
        <v>517</v>
      </c>
      <c r="M59" s="501"/>
      <c r="N59" s="506"/>
    </row>
    <row r="60" spans="1:14" s="158" customFormat="1" ht="30" customHeight="1">
      <c r="A60" s="515">
        <v>47</v>
      </c>
      <c r="B60" s="515"/>
      <c r="C60" s="515" t="s">
        <v>512</v>
      </c>
      <c r="D60" s="516">
        <v>550</v>
      </c>
      <c r="E60" s="517" t="s">
        <v>62</v>
      </c>
      <c r="F60" s="518">
        <v>331</v>
      </c>
      <c r="G60" s="518">
        <v>91</v>
      </c>
      <c r="H60" s="500"/>
      <c r="I60" s="501" t="s">
        <v>554</v>
      </c>
      <c r="J60" s="501" t="s">
        <v>561</v>
      </c>
      <c r="K60" s="501" t="s">
        <v>536</v>
      </c>
      <c r="L60" s="501" t="s">
        <v>562</v>
      </c>
      <c r="M60" s="501" t="s">
        <v>487</v>
      </c>
      <c r="N60" s="506"/>
    </row>
    <row r="61" spans="1:14" s="158" customFormat="1" ht="30" customHeight="1">
      <c r="A61" s="515">
        <v>48</v>
      </c>
      <c r="B61" s="515"/>
      <c r="C61" s="515" t="s">
        <v>512</v>
      </c>
      <c r="D61" s="516">
        <v>549</v>
      </c>
      <c r="E61" s="517" t="s">
        <v>62</v>
      </c>
      <c r="F61" s="518">
        <v>139</v>
      </c>
      <c r="G61" s="518">
        <v>40</v>
      </c>
      <c r="H61" s="502"/>
      <c r="I61" s="501" t="s">
        <v>554</v>
      </c>
      <c r="J61" s="501" t="s">
        <v>561</v>
      </c>
      <c r="K61" s="501" t="s">
        <v>536</v>
      </c>
      <c r="L61" s="501" t="s">
        <v>562</v>
      </c>
      <c r="M61" s="501" t="s">
        <v>487</v>
      </c>
      <c r="N61" s="506"/>
    </row>
    <row r="62" spans="1:14" s="158" customFormat="1" ht="30" customHeight="1">
      <c r="A62" s="515">
        <v>49</v>
      </c>
      <c r="B62" s="515"/>
      <c r="C62" s="515" t="s">
        <v>512</v>
      </c>
      <c r="D62" s="516" t="s">
        <v>390</v>
      </c>
      <c r="E62" s="517" t="s">
        <v>63</v>
      </c>
      <c r="F62" s="518">
        <v>40</v>
      </c>
      <c r="G62" s="518">
        <v>14</v>
      </c>
      <c r="H62" s="500"/>
      <c r="I62" s="501" t="s">
        <v>554</v>
      </c>
      <c r="J62" s="501" t="s">
        <v>561</v>
      </c>
      <c r="K62" s="501" t="s">
        <v>536</v>
      </c>
      <c r="L62" s="501" t="s">
        <v>562</v>
      </c>
      <c r="M62" s="501" t="s">
        <v>487</v>
      </c>
      <c r="N62" s="506"/>
    </row>
    <row r="63" spans="1:14" s="158" customFormat="1" ht="30" customHeight="1">
      <c r="A63" s="515">
        <v>50</v>
      </c>
      <c r="B63" s="515">
        <v>1</v>
      </c>
      <c r="C63" s="515" t="s">
        <v>512</v>
      </c>
      <c r="D63" s="516">
        <v>548</v>
      </c>
      <c r="E63" s="517" t="s">
        <v>62</v>
      </c>
      <c r="F63" s="518">
        <v>264</v>
      </c>
      <c r="G63" s="518">
        <v>131</v>
      </c>
      <c r="H63" s="500" t="s">
        <v>484</v>
      </c>
      <c r="I63" s="501" t="s">
        <v>518</v>
      </c>
      <c r="J63" s="501" t="s">
        <v>544</v>
      </c>
      <c r="K63" s="501" t="s">
        <v>516</v>
      </c>
      <c r="L63" s="501" t="s">
        <v>517</v>
      </c>
      <c r="M63" s="501"/>
      <c r="N63" s="240"/>
    </row>
    <row r="64" spans="1:14" s="158" customFormat="1" ht="30" customHeight="1">
      <c r="A64" s="515">
        <v>50</v>
      </c>
      <c r="B64" s="515">
        <v>2</v>
      </c>
      <c r="C64" s="515" t="s">
        <v>512</v>
      </c>
      <c r="D64" s="516">
        <v>548</v>
      </c>
      <c r="E64" s="517" t="s">
        <v>62</v>
      </c>
      <c r="F64" s="518">
        <v>264</v>
      </c>
      <c r="G64" s="518">
        <v>131</v>
      </c>
      <c r="H64" s="500" t="s">
        <v>484</v>
      </c>
      <c r="I64" s="501" t="s">
        <v>518</v>
      </c>
      <c r="J64" s="501" t="s">
        <v>549</v>
      </c>
      <c r="K64" s="501" t="s">
        <v>516</v>
      </c>
      <c r="L64" s="501" t="s">
        <v>517</v>
      </c>
      <c r="M64" s="501"/>
      <c r="N64" s="240"/>
    </row>
    <row r="65" spans="1:14" s="158" customFormat="1" ht="30" customHeight="1">
      <c r="A65" s="515">
        <v>51</v>
      </c>
      <c r="B65" s="515"/>
      <c r="C65" s="515" t="s">
        <v>512</v>
      </c>
      <c r="D65" s="516" t="s">
        <v>465</v>
      </c>
      <c r="E65" s="517" t="s">
        <v>62</v>
      </c>
      <c r="F65" s="518">
        <v>161</v>
      </c>
      <c r="G65" s="518">
        <v>161</v>
      </c>
      <c r="H65" s="500"/>
      <c r="I65" s="501" t="s">
        <v>559</v>
      </c>
      <c r="J65" s="501" t="s">
        <v>548</v>
      </c>
      <c r="K65" s="501" t="s">
        <v>516</v>
      </c>
      <c r="L65" s="501" t="s">
        <v>517</v>
      </c>
      <c r="M65" s="501"/>
      <c r="N65" s="506"/>
    </row>
    <row r="66" spans="1:14" s="158" customFormat="1" ht="30" customHeight="1">
      <c r="A66" s="515">
        <v>52</v>
      </c>
      <c r="B66" s="515"/>
      <c r="C66" s="515" t="s">
        <v>512</v>
      </c>
      <c r="D66" s="516" t="s">
        <v>391</v>
      </c>
      <c r="E66" s="517" t="s">
        <v>62</v>
      </c>
      <c r="F66" s="518">
        <v>50</v>
      </c>
      <c r="G66" s="518">
        <v>50</v>
      </c>
      <c r="H66" s="500"/>
      <c r="I66" s="501" t="s">
        <v>522</v>
      </c>
      <c r="J66" s="501" t="s">
        <v>563</v>
      </c>
      <c r="K66" s="501" t="s">
        <v>564</v>
      </c>
      <c r="L66" s="501" t="s">
        <v>565</v>
      </c>
      <c r="M66" s="501" t="s">
        <v>491</v>
      </c>
      <c r="N66" s="506"/>
    </row>
    <row r="67" spans="1:14" s="158" customFormat="1" ht="30" customHeight="1">
      <c r="A67" s="515">
        <v>53</v>
      </c>
      <c r="B67" s="515"/>
      <c r="C67" s="515" t="s">
        <v>512</v>
      </c>
      <c r="D67" s="516" t="s">
        <v>469</v>
      </c>
      <c r="E67" s="517" t="s">
        <v>470</v>
      </c>
      <c r="F67" s="518">
        <v>95</v>
      </c>
      <c r="G67" s="518">
        <v>7</v>
      </c>
      <c r="H67" s="500"/>
      <c r="I67" s="501" t="s">
        <v>522</v>
      </c>
      <c r="J67" s="501" t="s">
        <v>563</v>
      </c>
      <c r="K67" s="501" t="s">
        <v>564</v>
      </c>
      <c r="L67" s="501" t="s">
        <v>565</v>
      </c>
      <c r="M67" s="501" t="s">
        <v>491</v>
      </c>
      <c r="N67" s="506"/>
    </row>
    <row r="68" spans="1:14" s="158" customFormat="1" ht="30" customHeight="1">
      <c r="A68" s="515">
        <v>54</v>
      </c>
      <c r="B68" s="515">
        <v>1</v>
      </c>
      <c r="C68" s="515" t="s">
        <v>512</v>
      </c>
      <c r="D68" s="516" t="s">
        <v>392</v>
      </c>
      <c r="E68" s="517" t="s">
        <v>62</v>
      </c>
      <c r="F68" s="518">
        <v>1150</v>
      </c>
      <c r="G68" s="518">
        <v>149</v>
      </c>
      <c r="H68" s="500" t="s">
        <v>492</v>
      </c>
      <c r="I68" s="501" t="s">
        <v>518</v>
      </c>
      <c r="J68" s="501" t="s">
        <v>566</v>
      </c>
      <c r="K68" s="501" t="s">
        <v>516</v>
      </c>
      <c r="L68" s="501" t="s">
        <v>517</v>
      </c>
      <c r="M68" s="501"/>
      <c r="N68" s="240"/>
    </row>
    <row r="69" spans="1:14" s="158" customFormat="1" ht="30" customHeight="1">
      <c r="A69" s="515">
        <v>54</v>
      </c>
      <c r="B69" s="515">
        <v>2</v>
      </c>
      <c r="C69" s="515" t="s">
        <v>512</v>
      </c>
      <c r="D69" s="516" t="s">
        <v>392</v>
      </c>
      <c r="E69" s="517" t="s">
        <v>62</v>
      </c>
      <c r="F69" s="518">
        <v>1150</v>
      </c>
      <c r="G69" s="518">
        <v>149</v>
      </c>
      <c r="H69" s="500" t="s">
        <v>492</v>
      </c>
      <c r="I69" s="501" t="s">
        <v>518</v>
      </c>
      <c r="J69" s="501" t="s">
        <v>567</v>
      </c>
      <c r="K69" s="501" t="s">
        <v>516</v>
      </c>
      <c r="L69" s="501" t="s">
        <v>517</v>
      </c>
      <c r="M69" s="501"/>
      <c r="N69" s="240"/>
    </row>
    <row r="70" spans="1:14" s="158" customFormat="1" ht="30" customHeight="1">
      <c r="A70" s="515">
        <v>54</v>
      </c>
      <c r="B70" s="515">
        <v>3</v>
      </c>
      <c r="C70" s="515" t="s">
        <v>512</v>
      </c>
      <c r="D70" s="516" t="s">
        <v>392</v>
      </c>
      <c r="E70" s="517" t="s">
        <v>62</v>
      </c>
      <c r="F70" s="518">
        <v>1150</v>
      </c>
      <c r="G70" s="518">
        <v>149</v>
      </c>
      <c r="H70" s="500" t="s">
        <v>492</v>
      </c>
      <c r="I70" s="501" t="s">
        <v>518</v>
      </c>
      <c r="J70" s="501" t="s">
        <v>568</v>
      </c>
      <c r="K70" s="501" t="s">
        <v>516</v>
      </c>
      <c r="L70" s="501" t="s">
        <v>517</v>
      </c>
      <c r="M70" s="501"/>
      <c r="N70" s="240"/>
    </row>
    <row r="71" spans="1:14" s="158" customFormat="1" ht="30" customHeight="1">
      <c r="A71" s="515">
        <v>55</v>
      </c>
      <c r="B71" s="515"/>
      <c r="C71" s="515" t="s">
        <v>512</v>
      </c>
      <c r="D71" s="516">
        <v>538</v>
      </c>
      <c r="E71" s="517" t="s">
        <v>62</v>
      </c>
      <c r="F71" s="518">
        <v>1451</v>
      </c>
      <c r="G71" s="518">
        <v>117</v>
      </c>
      <c r="H71" s="500"/>
      <c r="I71" s="501" t="s">
        <v>518</v>
      </c>
      <c r="J71" s="501" t="s">
        <v>568</v>
      </c>
      <c r="K71" s="501" t="s">
        <v>530</v>
      </c>
      <c r="L71" s="501" t="s">
        <v>531</v>
      </c>
      <c r="M71" s="501" t="s">
        <v>491</v>
      </c>
      <c r="N71" s="506"/>
    </row>
    <row r="72" spans="1:14" s="158" customFormat="1" ht="30" customHeight="1">
      <c r="A72" s="515">
        <v>56</v>
      </c>
      <c r="B72" s="515"/>
      <c r="C72" s="515" t="s">
        <v>512</v>
      </c>
      <c r="D72" s="516" t="s">
        <v>393</v>
      </c>
      <c r="E72" s="517" t="s">
        <v>62</v>
      </c>
      <c r="F72" s="518">
        <v>493</v>
      </c>
      <c r="G72" s="518">
        <v>26</v>
      </c>
      <c r="H72" s="500"/>
      <c r="I72" s="501" t="s">
        <v>569</v>
      </c>
      <c r="J72" s="501" t="s">
        <v>570</v>
      </c>
      <c r="K72" s="501" t="s">
        <v>530</v>
      </c>
      <c r="L72" s="501" t="s">
        <v>571</v>
      </c>
      <c r="M72" s="501" t="s">
        <v>486</v>
      </c>
      <c r="N72" s="507"/>
    </row>
    <row r="73" spans="1:14" s="158" customFormat="1" ht="30" customHeight="1">
      <c r="A73" s="515">
        <v>57</v>
      </c>
      <c r="B73" s="515"/>
      <c r="C73" s="515" t="s">
        <v>512</v>
      </c>
      <c r="D73" s="516">
        <v>837</v>
      </c>
      <c r="E73" s="517" t="s">
        <v>394</v>
      </c>
      <c r="F73" s="518">
        <v>15527</v>
      </c>
      <c r="G73" s="518">
        <v>98</v>
      </c>
      <c r="H73" s="500"/>
      <c r="I73" s="501" t="s">
        <v>547</v>
      </c>
      <c r="J73" s="501" t="s">
        <v>548</v>
      </c>
      <c r="K73" s="501" t="s">
        <v>516</v>
      </c>
      <c r="L73" s="501" t="s">
        <v>517</v>
      </c>
      <c r="M73" s="501"/>
      <c r="N73" s="506"/>
    </row>
    <row r="74" spans="1:14" s="158" customFormat="1" ht="30" customHeight="1">
      <c r="A74" s="515">
        <v>58</v>
      </c>
      <c r="B74" s="515"/>
      <c r="C74" s="515" t="s">
        <v>512</v>
      </c>
      <c r="D74" s="516" t="s">
        <v>395</v>
      </c>
      <c r="E74" s="517" t="s">
        <v>62</v>
      </c>
      <c r="F74" s="518">
        <v>165</v>
      </c>
      <c r="G74" s="518">
        <v>78</v>
      </c>
      <c r="H74" s="502"/>
      <c r="I74" s="501" t="s">
        <v>514</v>
      </c>
      <c r="J74" s="501" t="s">
        <v>544</v>
      </c>
      <c r="K74" s="501" t="s">
        <v>516</v>
      </c>
      <c r="L74" s="501" t="s">
        <v>517</v>
      </c>
      <c r="M74" s="501"/>
      <c r="N74" s="507"/>
    </row>
    <row r="75" spans="1:14" s="158" customFormat="1" ht="30" customHeight="1">
      <c r="A75" s="515">
        <v>59</v>
      </c>
      <c r="B75" s="515"/>
      <c r="C75" s="515" t="s">
        <v>512</v>
      </c>
      <c r="D75" s="516">
        <v>523</v>
      </c>
      <c r="E75" s="517" t="s">
        <v>62</v>
      </c>
      <c r="F75" s="518">
        <v>1587</v>
      </c>
      <c r="G75" s="518">
        <v>561</v>
      </c>
      <c r="H75" s="500"/>
      <c r="I75" s="501" t="s">
        <v>532</v>
      </c>
      <c r="J75" s="501" t="s">
        <v>541</v>
      </c>
      <c r="K75" s="501" t="s">
        <v>572</v>
      </c>
      <c r="L75" s="501" t="s">
        <v>573</v>
      </c>
      <c r="M75" s="501" t="s">
        <v>487</v>
      </c>
      <c r="N75" s="507"/>
    </row>
    <row r="76" spans="1:14" s="158" customFormat="1" ht="30" customHeight="1">
      <c r="A76" s="515">
        <v>60</v>
      </c>
      <c r="B76" s="515"/>
      <c r="C76" s="515" t="s">
        <v>512</v>
      </c>
      <c r="D76" s="516" t="s">
        <v>396</v>
      </c>
      <c r="E76" s="517" t="s">
        <v>62</v>
      </c>
      <c r="F76" s="518">
        <v>188</v>
      </c>
      <c r="G76" s="518">
        <v>3</v>
      </c>
      <c r="H76" s="500"/>
      <c r="I76" s="501" t="s">
        <v>518</v>
      </c>
      <c r="J76" s="501" t="s">
        <v>549</v>
      </c>
      <c r="K76" s="501" t="s">
        <v>530</v>
      </c>
      <c r="L76" s="501" t="s">
        <v>574</v>
      </c>
      <c r="M76" s="501" t="s">
        <v>487</v>
      </c>
      <c r="N76" s="507"/>
    </row>
    <row r="77" spans="1:14" s="158" customFormat="1" ht="30" customHeight="1">
      <c r="A77" s="515">
        <v>61</v>
      </c>
      <c r="B77" s="515">
        <v>1</v>
      </c>
      <c r="C77" s="515" t="s">
        <v>512</v>
      </c>
      <c r="D77" s="516">
        <v>528</v>
      </c>
      <c r="E77" s="517" t="s">
        <v>64</v>
      </c>
      <c r="F77" s="518">
        <v>3795</v>
      </c>
      <c r="G77" s="518">
        <v>2824</v>
      </c>
      <c r="H77" s="500" t="s">
        <v>489</v>
      </c>
      <c r="I77" s="501" t="s">
        <v>528</v>
      </c>
      <c r="J77" s="501" t="s">
        <v>575</v>
      </c>
      <c r="K77" s="501" t="s">
        <v>516</v>
      </c>
      <c r="L77" s="501" t="s">
        <v>517</v>
      </c>
      <c r="M77" s="501"/>
      <c r="N77" s="507"/>
    </row>
    <row r="78" spans="1:14" s="158" customFormat="1" ht="30" customHeight="1">
      <c r="A78" s="515">
        <v>61</v>
      </c>
      <c r="B78" s="515">
        <v>2</v>
      </c>
      <c r="C78" s="515" t="s">
        <v>512</v>
      </c>
      <c r="D78" s="516">
        <v>528</v>
      </c>
      <c r="E78" s="517" t="s">
        <v>64</v>
      </c>
      <c r="F78" s="518">
        <v>3795</v>
      </c>
      <c r="G78" s="518">
        <v>2824</v>
      </c>
      <c r="H78" s="500" t="s">
        <v>495</v>
      </c>
      <c r="I78" s="501" t="s">
        <v>528</v>
      </c>
      <c r="J78" s="501" t="s">
        <v>576</v>
      </c>
      <c r="K78" s="501" t="s">
        <v>516</v>
      </c>
      <c r="L78" s="501" t="s">
        <v>517</v>
      </c>
      <c r="M78" s="501"/>
      <c r="N78" s="507"/>
    </row>
    <row r="79" spans="1:14" s="158" customFormat="1" ht="30" customHeight="1">
      <c r="A79" s="515">
        <v>61</v>
      </c>
      <c r="B79" s="515">
        <v>3</v>
      </c>
      <c r="C79" s="515" t="s">
        <v>512</v>
      </c>
      <c r="D79" s="516">
        <v>528</v>
      </c>
      <c r="E79" s="517" t="s">
        <v>64</v>
      </c>
      <c r="F79" s="518">
        <v>3795</v>
      </c>
      <c r="G79" s="518">
        <v>2824</v>
      </c>
      <c r="H79" s="500" t="s">
        <v>496</v>
      </c>
      <c r="I79" s="501" t="s">
        <v>528</v>
      </c>
      <c r="J79" s="501" t="s">
        <v>577</v>
      </c>
      <c r="K79" s="501" t="s">
        <v>516</v>
      </c>
      <c r="L79" s="501" t="s">
        <v>517</v>
      </c>
      <c r="M79" s="501"/>
      <c r="N79" s="507"/>
    </row>
    <row r="80" spans="1:14" s="158" customFormat="1" ht="30" customHeight="1">
      <c r="A80" s="515">
        <v>61</v>
      </c>
      <c r="B80" s="515">
        <v>4</v>
      </c>
      <c r="C80" s="515" t="s">
        <v>512</v>
      </c>
      <c r="D80" s="516">
        <v>528</v>
      </c>
      <c r="E80" s="517" t="s">
        <v>64</v>
      </c>
      <c r="F80" s="518">
        <v>3795</v>
      </c>
      <c r="G80" s="518">
        <v>2824</v>
      </c>
      <c r="H80" s="500" t="s">
        <v>497</v>
      </c>
      <c r="I80" s="501" t="s">
        <v>528</v>
      </c>
      <c r="J80" s="501" t="s">
        <v>578</v>
      </c>
      <c r="K80" s="501" t="s">
        <v>516</v>
      </c>
      <c r="L80" s="501" t="s">
        <v>517</v>
      </c>
      <c r="M80" s="501"/>
      <c r="N80" s="507"/>
    </row>
    <row r="81" spans="1:14" s="158" customFormat="1" ht="30" customHeight="1">
      <c r="A81" s="515">
        <v>61</v>
      </c>
      <c r="B81" s="515">
        <v>5</v>
      </c>
      <c r="C81" s="515" t="s">
        <v>512</v>
      </c>
      <c r="D81" s="516">
        <v>528</v>
      </c>
      <c r="E81" s="517" t="s">
        <v>64</v>
      </c>
      <c r="F81" s="518">
        <v>3795</v>
      </c>
      <c r="G81" s="518">
        <v>2824</v>
      </c>
      <c r="H81" s="500" t="s">
        <v>495</v>
      </c>
      <c r="I81" s="501" t="s">
        <v>528</v>
      </c>
      <c r="J81" s="501" t="s">
        <v>579</v>
      </c>
      <c r="K81" s="501" t="s">
        <v>559</v>
      </c>
      <c r="L81" s="501" t="s">
        <v>580</v>
      </c>
      <c r="M81" s="501" t="s">
        <v>494</v>
      </c>
      <c r="N81" s="507"/>
    </row>
    <row r="82" spans="1:14" s="158" customFormat="1" ht="30" customHeight="1">
      <c r="A82" s="515">
        <v>61</v>
      </c>
      <c r="B82" s="515">
        <v>6</v>
      </c>
      <c r="C82" s="515" t="s">
        <v>512</v>
      </c>
      <c r="D82" s="516">
        <v>528</v>
      </c>
      <c r="E82" s="517" t="s">
        <v>64</v>
      </c>
      <c r="F82" s="518">
        <v>3795</v>
      </c>
      <c r="G82" s="518">
        <v>2824</v>
      </c>
      <c r="H82" s="500" t="s">
        <v>489</v>
      </c>
      <c r="I82" s="501" t="s">
        <v>528</v>
      </c>
      <c r="J82" s="501" t="s">
        <v>581</v>
      </c>
      <c r="K82" s="501" t="s">
        <v>559</v>
      </c>
      <c r="L82" s="501" t="s">
        <v>580</v>
      </c>
      <c r="M82" s="501" t="s">
        <v>493</v>
      </c>
      <c r="N82" s="507"/>
    </row>
    <row r="83" spans="1:14" s="158" customFormat="1" ht="30" customHeight="1">
      <c r="A83" s="515">
        <v>62</v>
      </c>
      <c r="B83" s="515">
        <v>1</v>
      </c>
      <c r="C83" s="515" t="s">
        <v>512</v>
      </c>
      <c r="D83" s="516">
        <v>498</v>
      </c>
      <c r="E83" s="517" t="s">
        <v>64</v>
      </c>
      <c r="F83" s="518">
        <v>526</v>
      </c>
      <c r="G83" s="518">
        <v>236</v>
      </c>
      <c r="H83" s="500" t="s">
        <v>489</v>
      </c>
      <c r="I83" s="501" t="s">
        <v>528</v>
      </c>
      <c r="J83" s="501" t="s">
        <v>579</v>
      </c>
      <c r="K83" s="501" t="s">
        <v>516</v>
      </c>
      <c r="L83" s="501" t="s">
        <v>517</v>
      </c>
      <c r="M83" s="501"/>
      <c r="N83" s="507"/>
    </row>
    <row r="84" spans="1:14" s="158" customFormat="1" ht="30" customHeight="1">
      <c r="A84" s="515">
        <v>62</v>
      </c>
      <c r="B84" s="515">
        <v>2</v>
      </c>
      <c r="C84" s="515" t="s">
        <v>512</v>
      </c>
      <c r="D84" s="516">
        <v>498</v>
      </c>
      <c r="E84" s="517" t="s">
        <v>64</v>
      </c>
      <c r="F84" s="518">
        <v>526</v>
      </c>
      <c r="G84" s="518">
        <v>236</v>
      </c>
      <c r="H84" s="500" t="s">
        <v>489</v>
      </c>
      <c r="I84" s="501" t="s">
        <v>528</v>
      </c>
      <c r="J84" s="501" t="s">
        <v>579</v>
      </c>
      <c r="K84" s="501" t="s">
        <v>559</v>
      </c>
      <c r="L84" s="501" t="s">
        <v>580</v>
      </c>
      <c r="M84" s="501" t="s">
        <v>494</v>
      </c>
      <c r="N84" s="507"/>
    </row>
    <row r="85" spans="1:14" s="158" customFormat="1" ht="30" customHeight="1">
      <c r="A85" s="515">
        <v>62</v>
      </c>
      <c r="B85" s="515">
        <v>3</v>
      </c>
      <c r="C85" s="515" t="s">
        <v>512</v>
      </c>
      <c r="D85" s="516">
        <v>498</v>
      </c>
      <c r="E85" s="517" t="s">
        <v>64</v>
      </c>
      <c r="F85" s="518">
        <v>526</v>
      </c>
      <c r="G85" s="518">
        <v>236</v>
      </c>
      <c r="H85" s="500" t="s">
        <v>489</v>
      </c>
      <c r="I85" s="501" t="s">
        <v>528</v>
      </c>
      <c r="J85" s="501" t="s">
        <v>581</v>
      </c>
      <c r="K85" s="501" t="s">
        <v>559</v>
      </c>
      <c r="L85" s="501" t="s">
        <v>580</v>
      </c>
      <c r="M85" s="501" t="s">
        <v>493</v>
      </c>
      <c r="N85" s="507"/>
    </row>
    <row r="86" spans="1:14" s="158" customFormat="1" ht="30" customHeight="1">
      <c r="A86" s="515">
        <v>62</v>
      </c>
      <c r="B86" s="515">
        <v>4</v>
      </c>
      <c r="C86" s="515" t="s">
        <v>512</v>
      </c>
      <c r="D86" s="516">
        <v>498</v>
      </c>
      <c r="E86" s="517" t="s">
        <v>64</v>
      </c>
      <c r="F86" s="518">
        <v>526</v>
      </c>
      <c r="G86" s="518">
        <v>236</v>
      </c>
      <c r="H86" s="500" t="s">
        <v>496</v>
      </c>
      <c r="I86" s="501" t="s">
        <v>528</v>
      </c>
      <c r="J86" s="501" t="s">
        <v>577</v>
      </c>
      <c r="K86" s="501" t="s">
        <v>516</v>
      </c>
      <c r="L86" s="501" t="s">
        <v>517</v>
      </c>
      <c r="M86" s="501"/>
      <c r="N86" s="507"/>
    </row>
    <row r="87" spans="1:14" s="158" customFormat="1" ht="30" customHeight="1">
      <c r="A87" s="515">
        <v>62</v>
      </c>
      <c r="B87" s="515">
        <v>5</v>
      </c>
      <c r="C87" s="515" t="s">
        <v>512</v>
      </c>
      <c r="D87" s="516">
        <v>498</v>
      </c>
      <c r="E87" s="517" t="s">
        <v>64</v>
      </c>
      <c r="F87" s="518">
        <v>526</v>
      </c>
      <c r="G87" s="518">
        <v>236</v>
      </c>
      <c r="H87" s="500" t="s">
        <v>496</v>
      </c>
      <c r="I87" s="501" t="s">
        <v>528</v>
      </c>
      <c r="J87" s="501" t="s">
        <v>578</v>
      </c>
      <c r="K87" s="501" t="s">
        <v>516</v>
      </c>
      <c r="L87" s="501" t="s">
        <v>517</v>
      </c>
      <c r="M87" s="501"/>
      <c r="N87" s="507"/>
    </row>
    <row r="88" spans="1:14" s="158" customFormat="1" ht="30" customHeight="1">
      <c r="A88" s="515">
        <v>62</v>
      </c>
      <c r="B88" s="515">
        <v>6</v>
      </c>
      <c r="C88" s="515" t="s">
        <v>512</v>
      </c>
      <c r="D88" s="516">
        <v>498</v>
      </c>
      <c r="E88" s="517" t="s">
        <v>381</v>
      </c>
      <c r="F88" s="518">
        <v>526</v>
      </c>
      <c r="G88" s="518">
        <v>236</v>
      </c>
      <c r="H88" s="500" t="s">
        <v>489</v>
      </c>
      <c r="I88" s="501" t="s">
        <v>528</v>
      </c>
      <c r="J88" s="501" t="s">
        <v>575</v>
      </c>
      <c r="K88" s="501" t="s">
        <v>516</v>
      </c>
      <c r="L88" s="501" t="s">
        <v>517</v>
      </c>
      <c r="M88" s="501"/>
      <c r="N88" s="507"/>
    </row>
    <row r="89" spans="1:14" s="158" customFormat="1" ht="30" customHeight="1">
      <c r="A89" s="515">
        <v>63</v>
      </c>
      <c r="B89" s="515"/>
      <c r="C89" s="515" t="s">
        <v>512</v>
      </c>
      <c r="D89" s="516">
        <v>499</v>
      </c>
      <c r="E89" s="517" t="s">
        <v>62</v>
      </c>
      <c r="F89" s="518">
        <v>307</v>
      </c>
      <c r="G89" s="518">
        <v>139</v>
      </c>
      <c r="H89" s="500"/>
      <c r="I89" s="501" t="s">
        <v>582</v>
      </c>
      <c r="J89" s="501" t="s">
        <v>583</v>
      </c>
      <c r="K89" s="501" t="s">
        <v>545</v>
      </c>
      <c r="L89" s="501" t="s">
        <v>584</v>
      </c>
      <c r="M89" s="504" t="s">
        <v>498</v>
      </c>
      <c r="N89" s="507"/>
    </row>
    <row r="90" spans="1:14" s="158" customFormat="1" ht="30" customHeight="1">
      <c r="A90" s="515">
        <v>64</v>
      </c>
      <c r="B90" s="515"/>
      <c r="C90" s="515" t="s">
        <v>512</v>
      </c>
      <c r="D90" s="516" t="s">
        <v>448</v>
      </c>
      <c r="E90" s="517" t="s">
        <v>394</v>
      </c>
      <c r="F90" s="518">
        <v>9119</v>
      </c>
      <c r="G90" s="518">
        <v>233</v>
      </c>
      <c r="H90" s="500"/>
      <c r="I90" s="501" t="s">
        <v>547</v>
      </c>
      <c r="J90" s="501" t="s">
        <v>548</v>
      </c>
      <c r="K90" s="501" t="s">
        <v>516</v>
      </c>
      <c r="L90" s="501" t="s">
        <v>517</v>
      </c>
      <c r="M90" s="501"/>
      <c r="N90" s="507"/>
    </row>
    <row r="91" spans="1:14" s="158" customFormat="1" ht="30" customHeight="1">
      <c r="A91" s="515">
        <v>65</v>
      </c>
      <c r="B91" s="515"/>
      <c r="C91" s="515" t="s">
        <v>512</v>
      </c>
      <c r="D91" s="516" t="s">
        <v>467</v>
      </c>
      <c r="E91" s="517" t="s">
        <v>62</v>
      </c>
      <c r="F91" s="518">
        <v>199</v>
      </c>
      <c r="G91" s="518">
        <v>141</v>
      </c>
      <c r="H91" s="500"/>
      <c r="I91" s="501" t="s">
        <v>518</v>
      </c>
      <c r="J91" s="501" t="s">
        <v>555</v>
      </c>
      <c r="K91" s="501" t="s">
        <v>585</v>
      </c>
      <c r="L91" s="501" t="s">
        <v>586</v>
      </c>
      <c r="M91" s="501" t="s">
        <v>486</v>
      </c>
      <c r="N91" s="507"/>
    </row>
    <row r="92" spans="1:14" s="158" customFormat="1" ht="30" customHeight="1">
      <c r="A92" s="515">
        <v>66</v>
      </c>
      <c r="B92" s="515">
        <v>1</v>
      </c>
      <c r="C92" s="515" t="s">
        <v>512</v>
      </c>
      <c r="D92" s="516" t="s">
        <v>471</v>
      </c>
      <c r="E92" s="517" t="s">
        <v>66</v>
      </c>
      <c r="F92" s="518">
        <v>1727</v>
      </c>
      <c r="G92" s="518">
        <v>17</v>
      </c>
      <c r="H92" s="500" t="s">
        <v>485</v>
      </c>
      <c r="I92" s="501" t="s">
        <v>518</v>
      </c>
      <c r="J92" s="501" t="s">
        <v>587</v>
      </c>
      <c r="K92" s="501" t="s">
        <v>516</v>
      </c>
      <c r="L92" s="501" t="s">
        <v>517</v>
      </c>
      <c r="M92" s="501"/>
      <c r="N92" s="506"/>
    </row>
    <row r="93" spans="1:14" s="158" customFormat="1" ht="30" customHeight="1">
      <c r="A93" s="515">
        <v>66</v>
      </c>
      <c r="B93" s="515">
        <v>2</v>
      </c>
      <c r="C93" s="515" t="s">
        <v>512</v>
      </c>
      <c r="D93" s="516" t="s">
        <v>471</v>
      </c>
      <c r="E93" s="517" t="s">
        <v>472</v>
      </c>
      <c r="F93" s="518">
        <v>1727</v>
      </c>
      <c r="G93" s="518">
        <v>17</v>
      </c>
      <c r="H93" s="500" t="s">
        <v>485</v>
      </c>
      <c r="I93" s="501" t="s">
        <v>518</v>
      </c>
      <c r="J93" s="501" t="s">
        <v>588</v>
      </c>
      <c r="K93" s="501" t="s">
        <v>516</v>
      </c>
      <c r="L93" s="501" t="s">
        <v>517</v>
      </c>
      <c r="M93" s="501"/>
      <c r="N93" s="506"/>
    </row>
    <row r="94" spans="1:14" s="158" customFormat="1" ht="30" customHeight="1">
      <c r="A94" s="515">
        <v>67</v>
      </c>
      <c r="B94" s="515"/>
      <c r="C94" s="515" t="s">
        <v>512</v>
      </c>
      <c r="D94" s="516">
        <v>487</v>
      </c>
      <c r="E94" s="517" t="s">
        <v>62</v>
      </c>
      <c r="F94" s="518">
        <v>387</v>
      </c>
      <c r="G94" s="518">
        <v>19</v>
      </c>
      <c r="H94" s="500"/>
      <c r="I94" s="501" t="s">
        <v>518</v>
      </c>
      <c r="J94" s="501" t="s">
        <v>589</v>
      </c>
      <c r="K94" s="501" t="s">
        <v>530</v>
      </c>
      <c r="L94" s="501" t="s">
        <v>590</v>
      </c>
      <c r="M94" s="501" t="s">
        <v>486</v>
      </c>
      <c r="N94" s="507"/>
    </row>
    <row r="95" spans="1:14" s="158" customFormat="1" ht="30" customHeight="1">
      <c r="A95" s="515">
        <v>68</v>
      </c>
      <c r="B95" s="515"/>
      <c r="C95" s="515" t="s">
        <v>512</v>
      </c>
      <c r="D95" s="516">
        <v>848</v>
      </c>
      <c r="E95" s="517" t="s">
        <v>63</v>
      </c>
      <c r="F95" s="518">
        <v>56</v>
      </c>
      <c r="G95" s="518">
        <v>13</v>
      </c>
      <c r="H95" s="500"/>
      <c r="I95" s="501" t="s">
        <v>547</v>
      </c>
      <c r="J95" s="501" t="s">
        <v>548</v>
      </c>
      <c r="K95" s="501" t="s">
        <v>516</v>
      </c>
      <c r="L95" s="501" t="s">
        <v>517</v>
      </c>
      <c r="M95" s="501"/>
      <c r="N95" s="507"/>
    </row>
    <row r="96" spans="1:14" s="158" customFormat="1" ht="30" customHeight="1">
      <c r="A96" s="515">
        <v>69</v>
      </c>
      <c r="B96" s="515"/>
      <c r="C96" s="515" t="s">
        <v>512</v>
      </c>
      <c r="D96" s="516" t="s">
        <v>398</v>
      </c>
      <c r="E96" s="517" t="s">
        <v>62</v>
      </c>
      <c r="F96" s="518">
        <v>754</v>
      </c>
      <c r="G96" s="518">
        <v>59</v>
      </c>
      <c r="H96" s="500"/>
      <c r="I96" s="501" t="s">
        <v>518</v>
      </c>
      <c r="J96" s="501" t="s">
        <v>589</v>
      </c>
      <c r="K96" s="501" t="s">
        <v>516</v>
      </c>
      <c r="L96" s="501" t="s">
        <v>517</v>
      </c>
      <c r="M96" s="501"/>
      <c r="N96" s="507"/>
    </row>
    <row r="97" spans="1:14" s="158" customFormat="1" ht="30" customHeight="1">
      <c r="A97" s="515">
        <v>70</v>
      </c>
      <c r="B97" s="515"/>
      <c r="C97" s="515" t="s">
        <v>512</v>
      </c>
      <c r="D97" s="516">
        <v>853</v>
      </c>
      <c r="E97" s="517" t="s">
        <v>63</v>
      </c>
      <c r="F97" s="518">
        <v>53</v>
      </c>
      <c r="G97" s="518">
        <v>53</v>
      </c>
      <c r="H97" s="500"/>
      <c r="I97" s="501" t="s">
        <v>547</v>
      </c>
      <c r="J97" s="501" t="s">
        <v>548</v>
      </c>
      <c r="K97" s="501" t="s">
        <v>516</v>
      </c>
      <c r="L97" s="501" t="s">
        <v>517</v>
      </c>
      <c r="M97" s="501"/>
      <c r="N97" s="506"/>
    </row>
    <row r="98" spans="1:14" s="158" customFormat="1" ht="30" customHeight="1">
      <c r="A98" s="515">
        <v>71</v>
      </c>
      <c r="B98" s="515"/>
      <c r="C98" s="515" t="s">
        <v>512</v>
      </c>
      <c r="D98" s="516">
        <v>489</v>
      </c>
      <c r="E98" s="517" t="s">
        <v>399</v>
      </c>
      <c r="F98" s="518">
        <v>330</v>
      </c>
      <c r="G98" s="518">
        <v>6</v>
      </c>
      <c r="H98" s="500"/>
      <c r="I98" s="501" t="s">
        <v>518</v>
      </c>
      <c r="J98" s="501" t="s">
        <v>589</v>
      </c>
      <c r="K98" s="501" t="s">
        <v>516</v>
      </c>
      <c r="L98" s="501" t="s">
        <v>517</v>
      </c>
      <c r="M98" s="501"/>
      <c r="N98" s="507"/>
    </row>
    <row r="99" spans="1:14" s="158" customFormat="1" ht="30" customHeight="1">
      <c r="A99" s="515">
        <v>72</v>
      </c>
      <c r="B99" s="515"/>
      <c r="C99" s="515" t="s">
        <v>512</v>
      </c>
      <c r="D99" s="516" t="s">
        <v>449</v>
      </c>
      <c r="E99" s="517" t="s">
        <v>381</v>
      </c>
      <c r="F99" s="518">
        <v>17851</v>
      </c>
      <c r="G99" s="518">
        <v>2418</v>
      </c>
      <c r="H99" s="500"/>
      <c r="I99" s="501" t="s">
        <v>514</v>
      </c>
      <c r="J99" s="501" t="s">
        <v>591</v>
      </c>
      <c r="K99" s="501" t="s">
        <v>516</v>
      </c>
      <c r="L99" s="501" t="s">
        <v>517</v>
      </c>
      <c r="M99" s="501"/>
      <c r="N99" s="507"/>
    </row>
    <row r="100" spans="1:14" s="158" customFormat="1" ht="30" customHeight="1">
      <c r="A100" s="515">
        <v>73</v>
      </c>
      <c r="B100" s="515"/>
      <c r="C100" s="515" t="s">
        <v>512</v>
      </c>
      <c r="D100" s="516">
        <v>404</v>
      </c>
      <c r="E100" s="517" t="s">
        <v>62</v>
      </c>
      <c r="F100" s="518">
        <v>860</v>
      </c>
      <c r="G100" s="518">
        <v>216</v>
      </c>
      <c r="H100" s="502"/>
      <c r="I100" s="501" t="s">
        <v>514</v>
      </c>
      <c r="J100" s="501" t="s">
        <v>571</v>
      </c>
      <c r="K100" s="501" t="s">
        <v>516</v>
      </c>
      <c r="L100" s="501" t="s">
        <v>517</v>
      </c>
      <c r="M100" s="501"/>
      <c r="N100" s="507"/>
    </row>
    <row r="101" spans="1:14" s="158" customFormat="1" ht="30" customHeight="1">
      <c r="A101" s="515">
        <v>74</v>
      </c>
      <c r="B101" s="515"/>
      <c r="C101" s="515" t="s">
        <v>512</v>
      </c>
      <c r="D101" s="516">
        <v>826</v>
      </c>
      <c r="E101" s="517" t="s">
        <v>63</v>
      </c>
      <c r="F101" s="518">
        <v>5484</v>
      </c>
      <c r="G101" s="518">
        <v>192</v>
      </c>
      <c r="H101" s="500"/>
      <c r="I101" s="501" t="s">
        <v>547</v>
      </c>
      <c r="J101" s="501" t="s">
        <v>548</v>
      </c>
      <c r="K101" s="501" t="s">
        <v>516</v>
      </c>
      <c r="L101" s="501" t="s">
        <v>517</v>
      </c>
      <c r="M101" s="501"/>
      <c r="N101" s="507"/>
    </row>
    <row r="102" spans="1:14" s="158" customFormat="1" ht="30" customHeight="1">
      <c r="A102" s="515">
        <v>75</v>
      </c>
      <c r="B102" s="515"/>
      <c r="C102" s="515" t="s">
        <v>512</v>
      </c>
      <c r="D102" s="516" t="s">
        <v>400</v>
      </c>
      <c r="E102" s="517" t="s">
        <v>62</v>
      </c>
      <c r="F102" s="518">
        <v>2251</v>
      </c>
      <c r="G102" s="518">
        <v>589</v>
      </c>
      <c r="H102" s="502"/>
      <c r="I102" s="501" t="s">
        <v>592</v>
      </c>
      <c r="J102" s="501" t="s">
        <v>593</v>
      </c>
      <c r="K102" s="501" t="s">
        <v>516</v>
      </c>
      <c r="L102" s="501" t="s">
        <v>517</v>
      </c>
      <c r="M102" s="501"/>
      <c r="N102" s="507"/>
    </row>
    <row r="103" spans="1:14" s="158" customFormat="1" ht="30" customHeight="1">
      <c r="A103" s="515">
        <v>76</v>
      </c>
      <c r="B103" s="515"/>
      <c r="C103" s="515" t="s">
        <v>512</v>
      </c>
      <c r="D103" s="516" t="s">
        <v>401</v>
      </c>
      <c r="E103" s="517" t="s">
        <v>62</v>
      </c>
      <c r="F103" s="518">
        <v>1527</v>
      </c>
      <c r="G103" s="518">
        <v>745</v>
      </c>
      <c r="H103" s="500"/>
      <c r="I103" s="501" t="s">
        <v>532</v>
      </c>
      <c r="J103" s="501" t="s">
        <v>594</v>
      </c>
      <c r="K103" s="501" t="s">
        <v>516</v>
      </c>
      <c r="L103" s="501" t="s">
        <v>517</v>
      </c>
      <c r="M103" s="501"/>
      <c r="N103" s="507"/>
    </row>
    <row r="104" spans="1:14" s="158" customFormat="1" ht="30" customHeight="1">
      <c r="A104" s="515">
        <v>77</v>
      </c>
      <c r="B104" s="515"/>
      <c r="C104" s="515" t="s">
        <v>512</v>
      </c>
      <c r="D104" s="516">
        <v>407</v>
      </c>
      <c r="E104" s="517" t="s">
        <v>62</v>
      </c>
      <c r="F104" s="518">
        <v>2334</v>
      </c>
      <c r="G104" s="518">
        <v>313</v>
      </c>
      <c r="H104" s="502"/>
      <c r="I104" s="501" t="s">
        <v>532</v>
      </c>
      <c r="J104" s="501" t="s">
        <v>595</v>
      </c>
      <c r="K104" s="501" t="s">
        <v>596</v>
      </c>
      <c r="L104" s="501" t="s">
        <v>597</v>
      </c>
      <c r="M104" s="501" t="s">
        <v>483</v>
      </c>
      <c r="N104" s="507"/>
    </row>
    <row r="105" spans="1:14" s="158" customFormat="1" ht="30" customHeight="1">
      <c r="A105" s="515">
        <v>78</v>
      </c>
      <c r="B105" s="515"/>
      <c r="C105" s="515" t="s">
        <v>512</v>
      </c>
      <c r="D105" s="516">
        <v>410</v>
      </c>
      <c r="E105" s="517" t="s">
        <v>62</v>
      </c>
      <c r="F105" s="518">
        <v>418</v>
      </c>
      <c r="G105" s="518">
        <v>72</v>
      </c>
      <c r="H105" s="500"/>
      <c r="I105" s="501" t="s">
        <v>598</v>
      </c>
      <c r="J105" s="501" t="s">
        <v>593</v>
      </c>
      <c r="K105" s="501" t="s">
        <v>516</v>
      </c>
      <c r="L105" s="501" t="s">
        <v>517</v>
      </c>
      <c r="M105" s="501"/>
      <c r="N105" s="507"/>
    </row>
    <row r="106" spans="1:14" s="158" customFormat="1" ht="30" customHeight="1">
      <c r="A106" s="515">
        <v>79</v>
      </c>
      <c r="B106" s="515"/>
      <c r="C106" s="515" t="s">
        <v>512</v>
      </c>
      <c r="D106" s="516" t="s">
        <v>450</v>
      </c>
      <c r="E106" s="517" t="s">
        <v>62</v>
      </c>
      <c r="F106" s="518">
        <v>225</v>
      </c>
      <c r="G106" s="518">
        <v>192</v>
      </c>
      <c r="H106" s="500"/>
      <c r="I106" s="501" t="s">
        <v>598</v>
      </c>
      <c r="J106" s="501" t="s">
        <v>593</v>
      </c>
      <c r="K106" s="501" t="s">
        <v>516</v>
      </c>
      <c r="L106" s="501" t="s">
        <v>517</v>
      </c>
      <c r="M106" s="501"/>
      <c r="N106" s="507"/>
    </row>
    <row r="107" spans="1:14" s="158" customFormat="1" ht="30" customHeight="1">
      <c r="A107" s="515">
        <v>80</v>
      </c>
      <c r="B107" s="515"/>
      <c r="C107" s="515" t="s">
        <v>512</v>
      </c>
      <c r="D107" s="516" t="s">
        <v>402</v>
      </c>
      <c r="E107" s="517" t="s">
        <v>381</v>
      </c>
      <c r="F107" s="518">
        <v>566</v>
      </c>
      <c r="G107" s="518">
        <v>83</v>
      </c>
      <c r="H107" s="502"/>
      <c r="I107" s="501" t="s">
        <v>559</v>
      </c>
      <c r="J107" s="501" t="s">
        <v>548</v>
      </c>
      <c r="K107" s="501" t="s">
        <v>516</v>
      </c>
      <c r="L107" s="501" t="s">
        <v>517</v>
      </c>
      <c r="M107" s="501"/>
      <c r="N107" s="507"/>
    </row>
    <row r="108" spans="1:14" s="158" customFormat="1" ht="30" customHeight="1">
      <c r="A108" s="515">
        <v>81</v>
      </c>
      <c r="B108" s="515"/>
      <c r="C108" s="515" t="s">
        <v>512</v>
      </c>
      <c r="D108" s="516" t="s">
        <v>403</v>
      </c>
      <c r="E108" s="517" t="s">
        <v>381</v>
      </c>
      <c r="F108" s="518">
        <v>264</v>
      </c>
      <c r="G108" s="518">
        <v>132</v>
      </c>
      <c r="H108" s="502"/>
      <c r="I108" s="501" t="s">
        <v>524</v>
      </c>
      <c r="J108" s="501" t="s">
        <v>599</v>
      </c>
      <c r="K108" s="501" t="s">
        <v>600</v>
      </c>
      <c r="L108" s="501" t="s">
        <v>601</v>
      </c>
      <c r="M108" s="501" t="s">
        <v>486</v>
      </c>
      <c r="N108" s="507"/>
    </row>
    <row r="109" spans="1:14" s="158" customFormat="1" ht="30" customHeight="1">
      <c r="A109" s="515">
        <v>82</v>
      </c>
      <c r="B109" s="515"/>
      <c r="C109" s="515" t="s">
        <v>512</v>
      </c>
      <c r="D109" s="516" t="s">
        <v>404</v>
      </c>
      <c r="E109" s="517" t="s">
        <v>63</v>
      </c>
      <c r="F109" s="518">
        <v>55</v>
      </c>
      <c r="G109" s="518">
        <v>29</v>
      </c>
      <c r="H109" s="500"/>
      <c r="I109" s="501" t="s">
        <v>559</v>
      </c>
      <c r="J109" s="501" t="s">
        <v>548</v>
      </c>
      <c r="K109" s="501" t="s">
        <v>516</v>
      </c>
      <c r="L109" s="501" t="s">
        <v>517</v>
      </c>
      <c r="M109" s="501"/>
      <c r="N109" s="507"/>
    </row>
    <row r="110" spans="1:14" s="158" customFormat="1" ht="30" customHeight="1">
      <c r="A110" s="515">
        <v>83</v>
      </c>
      <c r="B110" s="515"/>
      <c r="C110" s="515" t="s">
        <v>512</v>
      </c>
      <c r="D110" s="516">
        <v>829</v>
      </c>
      <c r="E110" s="517" t="s">
        <v>394</v>
      </c>
      <c r="F110" s="518">
        <v>8599</v>
      </c>
      <c r="G110" s="518">
        <v>77</v>
      </c>
      <c r="H110" s="500"/>
      <c r="I110" s="501" t="s">
        <v>547</v>
      </c>
      <c r="J110" s="501" t="s">
        <v>548</v>
      </c>
      <c r="K110" s="501" t="s">
        <v>516</v>
      </c>
      <c r="L110" s="501" t="s">
        <v>517</v>
      </c>
      <c r="M110" s="501"/>
      <c r="N110" s="507"/>
    </row>
    <row r="111" spans="1:14" s="158" customFormat="1" ht="30" customHeight="1">
      <c r="A111" s="515">
        <v>84</v>
      </c>
      <c r="B111" s="515"/>
      <c r="C111" s="515" t="s">
        <v>512</v>
      </c>
      <c r="D111" s="516" t="s">
        <v>451</v>
      </c>
      <c r="E111" s="517" t="s">
        <v>63</v>
      </c>
      <c r="F111" s="518">
        <v>43</v>
      </c>
      <c r="G111" s="518">
        <v>33</v>
      </c>
      <c r="H111" s="500"/>
      <c r="I111" s="501" t="s">
        <v>559</v>
      </c>
      <c r="J111" s="501" t="s">
        <v>548</v>
      </c>
      <c r="K111" s="501" t="s">
        <v>516</v>
      </c>
      <c r="L111" s="501" t="s">
        <v>517</v>
      </c>
      <c r="M111" s="501"/>
      <c r="N111" s="507"/>
    </row>
    <row r="112" spans="1:14" s="158" customFormat="1" ht="30" customHeight="1">
      <c r="A112" s="515">
        <v>85</v>
      </c>
      <c r="B112" s="515"/>
      <c r="C112" s="515" t="s">
        <v>512</v>
      </c>
      <c r="D112" s="516" t="s">
        <v>452</v>
      </c>
      <c r="E112" s="517" t="s">
        <v>381</v>
      </c>
      <c r="F112" s="518">
        <v>20</v>
      </c>
      <c r="G112" s="518">
        <v>1</v>
      </c>
      <c r="H112" s="500"/>
      <c r="I112" s="501" t="s">
        <v>532</v>
      </c>
      <c r="J112" s="501" t="s">
        <v>602</v>
      </c>
      <c r="K112" s="501" t="s">
        <v>516</v>
      </c>
      <c r="L112" s="501" t="s">
        <v>517</v>
      </c>
      <c r="M112" s="501"/>
      <c r="N112" s="507"/>
    </row>
    <row r="113" spans="1:14" s="158" customFormat="1" ht="30" customHeight="1">
      <c r="A113" s="515">
        <v>86</v>
      </c>
      <c r="B113" s="515"/>
      <c r="C113" s="515" t="s">
        <v>512</v>
      </c>
      <c r="D113" s="516" t="s">
        <v>453</v>
      </c>
      <c r="E113" s="517" t="s">
        <v>381</v>
      </c>
      <c r="F113" s="518">
        <v>207</v>
      </c>
      <c r="G113" s="518">
        <v>198</v>
      </c>
      <c r="H113" s="502"/>
      <c r="I113" s="501" t="s">
        <v>559</v>
      </c>
      <c r="J113" s="501" t="s">
        <v>548</v>
      </c>
      <c r="K113" s="501" t="s">
        <v>516</v>
      </c>
      <c r="L113" s="501" t="s">
        <v>517</v>
      </c>
      <c r="M113" s="501"/>
      <c r="N113" s="507"/>
    </row>
    <row r="114" spans="1:14" s="158" customFormat="1" ht="30" customHeight="1">
      <c r="A114" s="515">
        <v>87</v>
      </c>
      <c r="B114" s="515"/>
      <c r="C114" s="515" t="s">
        <v>512</v>
      </c>
      <c r="D114" s="516" t="s">
        <v>405</v>
      </c>
      <c r="E114" s="517" t="s">
        <v>381</v>
      </c>
      <c r="F114" s="518">
        <v>1055</v>
      </c>
      <c r="G114" s="518">
        <v>182</v>
      </c>
      <c r="H114" s="500"/>
      <c r="I114" s="501" t="s">
        <v>532</v>
      </c>
      <c r="J114" s="501" t="s">
        <v>603</v>
      </c>
      <c r="K114" s="501" t="s">
        <v>516</v>
      </c>
      <c r="L114" s="501" t="s">
        <v>517</v>
      </c>
      <c r="M114" s="501"/>
      <c r="N114" s="507"/>
    </row>
    <row r="115" spans="1:14" s="158" customFormat="1" ht="30" customHeight="1">
      <c r="A115" s="515">
        <v>88</v>
      </c>
      <c r="B115" s="515"/>
      <c r="C115" s="515" t="s">
        <v>512</v>
      </c>
      <c r="D115" s="516" t="s">
        <v>406</v>
      </c>
      <c r="E115" s="517" t="s">
        <v>381</v>
      </c>
      <c r="F115" s="518">
        <v>13686</v>
      </c>
      <c r="G115" s="518">
        <v>913</v>
      </c>
      <c r="H115" s="500"/>
      <c r="I115" s="501" t="s">
        <v>514</v>
      </c>
      <c r="J115" s="501" t="s">
        <v>604</v>
      </c>
      <c r="K115" s="501" t="s">
        <v>516</v>
      </c>
      <c r="L115" s="501" t="s">
        <v>517</v>
      </c>
      <c r="M115" s="501"/>
      <c r="N115" s="507"/>
    </row>
    <row r="116" spans="1:14" s="158" customFormat="1" ht="30" customHeight="1">
      <c r="A116" s="515">
        <v>89</v>
      </c>
      <c r="B116" s="515"/>
      <c r="C116" s="515" t="s">
        <v>512</v>
      </c>
      <c r="D116" s="516" t="s">
        <v>407</v>
      </c>
      <c r="E116" s="517" t="s">
        <v>63</v>
      </c>
      <c r="F116" s="518">
        <v>1132</v>
      </c>
      <c r="G116" s="518">
        <v>1086</v>
      </c>
      <c r="H116" s="500"/>
      <c r="I116" s="501" t="s">
        <v>547</v>
      </c>
      <c r="J116" s="501" t="s">
        <v>548</v>
      </c>
      <c r="K116" s="501" t="s">
        <v>516</v>
      </c>
      <c r="L116" s="501" t="s">
        <v>517</v>
      </c>
      <c r="M116" s="501"/>
      <c r="N116" s="507"/>
    </row>
    <row r="117" spans="1:14" s="158" customFormat="1" ht="30" customHeight="1">
      <c r="A117" s="515">
        <v>90</v>
      </c>
      <c r="B117" s="515"/>
      <c r="C117" s="515" t="s">
        <v>512</v>
      </c>
      <c r="D117" s="516" t="s">
        <v>408</v>
      </c>
      <c r="E117" s="517" t="s">
        <v>62</v>
      </c>
      <c r="F117" s="518">
        <v>1359</v>
      </c>
      <c r="G117" s="518">
        <v>315</v>
      </c>
      <c r="H117" s="500"/>
      <c r="I117" s="501" t="s">
        <v>532</v>
      </c>
      <c r="J117" s="501" t="s">
        <v>605</v>
      </c>
      <c r="K117" s="501" t="s">
        <v>516</v>
      </c>
      <c r="L117" s="501" t="s">
        <v>517</v>
      </c>
      <c r="M117" s="501"/>
      <c r="N117" s="507"/>
    </row>
    <row r="118" spans="1:14" s="158" customFormat="1" ht="30" customHeight="1">
      <c r="A118" s="515">
        <v>91</v>
      </c>
      <c r="B118" s="515"/>
      <c r="C118" s="515" t="s">
        <v>512</v>
      </c>
      <c r="D118" s="516" t="s">
        <v>409</v>
      </c>
      <c r="E118" s="517" t="s">
        <v>381</v>
      </c>
      <c r="F118" s="518">
        <v>99</v>
      </c>
      <c r="G118" s="518">
        <v>99</v>
      </c>
      <c r="H118" s="500"/>
      <c r="I118" s="501" t="s">
        <v>532</v>
      </c>
      <c r="J118" s="501" t="s">
        <v>606</v>
      </c>
      <c r="K118" s="501" t="s">
        <v>516</v>
      </c>
      <c r="L118" s="501" t="s">
        <v>517</v>
      </c>
      <c r="M118" s="501"/>
      <c r="N118" s="507"/>
    </row>
    <row r="119" spans="1:14" s="158" customFormat="1" ht="30" customHeight="1">
      <c r="A119" s="515">
        <v>92</v>
      </c>
      <c r="B119" s="515"/>
      <c r="C119" s="515" t="s">
        <v>512</v>
      </c>
      <c r="D119" s="516" t="s">
        <v>410</v>
      </c>
      <c r="E119" s="517" t="s">
        <v>381</v>
      </c>
      <c r="F119" s="518">
        <v>298</v>
      </c>
      <c r="G119" s="518">
        <v>32</v>
      </c>
      <c r="H119" s="500"/>
      <c r="I119" s="501" t="s">
        <v>607</v>
      </c>
      <c r="J119" s="501" t="s">
        <v>608</v>
      </c>
      <c r="K119" s="501" t="s">
        <v>609</v>
      </c>
      <c r="L119" s="501" t="s">
        <v>610</v>
      </c>
      <c r="M119" s="501" t="s">
        <v>483</v>
      </c>
      <c r="N119" s="507"/>
    </row>
    <row r="120" spans="1:14" s="158" customFormat="1" ht="30" customHeight="1">
      <c r="A120" s="515">
        <v>93</v>
      </c>
      <c r="B120" s="515">
        <v>1</v>
      </c>
      <c r="C120" s="515" t="s">
        <v>512</v>
      </c>
      <c r="D120" s="516" t="s">
        <v>411</v>
      </c>
      <c r="E120" s="517" t="s">
        <v>64</v>
      </c>
      <c r="F120" s="518">
        <v>298</v>
      </c>
      <c r="G120" s="518">
        <v>125</v>
      </c>
      <c r="H120" s="500" t="s">
        <v>501</v>
      </c>
      <c r="I120" s="501" t="s">
        <v>514</v>
      </c>
      <c r="J120" s="501" t="s">
        <v>611</v>
      </c>
      <c r="K120" s="501" t="s">
        <v>516</v>
      </c>
      <c r="L120" s="501" t="s">
        <v>517</v>
      </c>
      <c r="M120" s="501"/>
      <c r="N120" s="507"/>
    </row>
    <row r="121" spans="1:14" s="158" customFormat="1" ht="30" customHeight="1">
      <c r="A121" s="515">
        <v>93</v>
      </c>
      <c r="B121" s="515">
        <v>2</v>
      </c>
      <c r="C121" s="515" t="s">
        <v>512</v>
      </c>
      <c r="D121" s="516" t="s">
        <v>411</v>
      </c>
      <c r="E121" s="517" t="s">
        <v>64</v>
      </c>
      <c r="F121" s="518">
        <v>298</v>
      </c>
      <c r="G121" s="518">
        <v>125</v>
      </c>
      <c r="H121" s="500" t="s">
        <v>501</v>
      </c>
      <c r="I121" s="501" t="s">
        <v>514</v>
      </c>
      <c r="J121" s="501" t="s">
        <v>612</v>
      </c>
      <c r="K121" s="501" t="s">
        <v>516</v>
      </c>
      <c r="L121" s="501" t="s">
        <v>517</v>
      </c>
      <c r="M121" s="501"/>
      <c r="N121" s="507"/>
    </row>
    <row r="122" spans="1:14" s="158" customFormat="1" ht="30" customHeight="1">
      <c r="A122" s="515">
        <v>93</v>
      </c>
      <c r="B122" s="515">
        <v>3</v>
      </c>
      <c r="C122" s="515" t="s">
        <v>512</v>
      </c>
      <c r="D122" s="516" t="s">
        <v>411</v>
      </c>
      <c r="E122" s="517" t="s">
        <v>381</v>
      </c>
      <c r="F122" s="518">
        <v>298</v>
      </c>
      <c r="G122" s="518">
        <v>125</v>
      </c>
      <c r="H122" s="500" t="s">
        <v>501</v>
      </c>
      <c r="I122" s="501" t="s">
        <v>514</v>
      </c>
      <c r="J122" s="501" t="s">
        <v>611</v>
      </c>
      <c r="K122" s="501" t="s">
        <v>516</v>
      </c>
      <c r="L122" s="501" t="s">
        <v>517</v>
      </c>
      <c r="M122" s="501"/>
      <c r="N122" s="507"/>
    </row>
    <row r="123" spans="1:14" s="158" customFormat="1" ht="30" customHeight="1">
      <c r="A123" s="515">
        <v>94</v>
      </c>
      <c r="B123" s="515">
        <v>1</v>
      </c>
      <c r="C123" s="515" t="s">
        <v>512</v>
      </c>
      <c r="D123" s="516" t="s">
        <v>412</v>
      </c>
      <c r="E123" s="517" t="s">
        <v>64</v>
      </c>
      <c r="F123" s="518">
        <v>13587</v>
      </c>
      <c r="G123" s="518">
        <v>4168</v>
      </c>
      <c r="H123" s="500" t="s">
        <v>501</v>
      </c>
      <c r="I123" s="501" t="s">
        <v>514</v>
      </c>
      <c r="J123" s="501" t="s">
        <v>613</v>
      </c>
      <c r="K123" s="501" t="s">
        <v>536</v>
      </c>
      <c r="L123" s="501" t="s">
        <v>558</v>
      </c>
      <c r="M123" s="501" t="s">
        <v>486</v>
      </c>
      <c r="N123" s="240"/>
    </row>
    <row r="124" spans="1:14" s="158" customFormat="1" ht="30" customHeight="1">
      <c r="A124" s="515">
        <v>94</v>
      </c>
      <c r="B124" s="515">
        <v>2</v>
      </c>
      <c r="C124" s="515" t="s">
        <v>512</v>
      </c>
      <c r="D124" s="516" t="s">
        <v>412</v>
      </c>
      <c r="E124" s="517" t="s">
        <v>381</v>
      </c>
      <c r="F124" s="518">
        <v>13587</v>
      </c>
      <c r="G124" s="518">
        <v>4168</v>
      </c>
      <c r="H124" s="502" t="s">
        <v>502</v>
      </c>
      <c r="I124" s="501" t="s">
        <v>532</v>
      </c>
      <c r="J124" s="501" t="s">
        <v>614</v>
      </c>
      <c r="K124" s="501" t="s">
        <v>516</v>
      </c>
      <c r="L124" s="501" t="s">
        <v>517</v>
      </c>
      <c r="M124" s="501"/>
      <c r="N124" s="240"/>
    </row>
    <row r="125" spans="1:14" s="158" customFormat="1" ht="30" customHeight="1">
      <c r="A125" s="515">
        <v>95</v>
      </c>
      <c r="B125" s="515"/>
      <c r="C125" s="515" t="s">
        <v>512</v>
      </c>
      <c r="D125" s="516" t="s">
        <v>466</v>
      </c>
      <c r="E125" s="517" t="s">
        <v>69</v>
      </c>
      <c r="F125" s="518">
        <v>4600</v>
      </c>
      <c r="G125" s="518">
        <v>88</v>
      </c>
      <c r="H125" s="500"/>
      <c r="I125" s="501" t="s">
        <v>547</v>
      </c>
      <c r="J125" s="501" t="s">
        <v>548</v>
      </c>
      <c r="K125" s="501" t="s">
        <v>516</v>
      </c>
      <c r="L125" s="501" t="s">
        <v>517</v>
      </c>
      <c r="M125" s="501"/>
      <c r="N125" s="507"/>
    </row>
    <row r="126" spans="1:14" s="158" customFormat="1" ht="30" customHeight="1">
      <c r="A126" s="515">
        <v>96</v>
      </c>
      <c r="B126" s="515"/>
      <c r="C126" s="515" t="s">
        <v>512</v>
      </c>
      <c r="D126" s="516" t="s">
        <v>413</v>
      </c>
      <c r="E126" s="517" t="s">
        <v>62</v>
      </c>
      <c r="F126" s="518">
        <v>1431</v>
      </c>
      <c r="G126" s="518">
        <v>28</v>
      </c>
      <c r="H126" s="502"/>
      <c r="I126" s="501" t="s">
        <v>524</v>
      </c>
      <c r="J126" s="501" t="s">
        <v>615</v>
      </c>
      <c r="K126" s="501" t="s">
        <v>516</v>
      </c>
      <c r="L126" s="501" t="s">
        <v>517</v>
      </c>
      <c r="M126" s="501"/>
      <c r="N126" s="507"/>
    </row>
    <row r="127" spans="1:14" s="158" customFormat="1" ht="30" customHeight="1">
      <c r="A127" s="515">
        <v>97</v>
      </c>
      <c r="B127" s="515"/>
      <c r="C127" s="515" t="s">
        <v>512</v>
      </c>
      <c r="D127" s="516" t="s">
        <v>414</v>
      </c>
      <c r="E127" s="517" t="s">
        <v>62</v>
      </c>
      <c r="F127" s="518">
        <v>626</v>
      </c>
      <c r="G127" s="518">
        <v>10</v>
      </c>
      <c r="H127" s="500"/>
      <c r="I127" s="501" t="s">
        <v>559</v>
      </c>
      <c r="J127" s="501" t="s">
        <v>548</v>
      </c>
      <c r="K127" s="501" t="s">
        <v>516</v>
      </c>
      <c r="L127" s="501" t="s">
        <v>517</v>
      </c>
      <c r="M127" s="501"/>
      <c r="N127" s="507"/>
    </row>
    <row r="128" spans="1:14" s="158" customFormat="1" ht="30" customHeight="1">
      <c r="A128" s="522">
        <v>98</v>
      </c>
      <c r="B128" s="522"/>
      <c r="C128" s="515" t="s">
        <v>512</v>
      </c>
      <c r="D128" s="516" t="s">
        <v>454</v>
      </c>
      <c r="E128" s="517" t="s">
        <v>63</v>
      </c>
      <c r="F128" s="518">
        <v>181</v>
      </c>
      <c r="G128" s="518">
        <v>169</v>
      </c>
      <c r="H128" s="500"/>
      <c r="I128" s="501" t="s">
        <v>559</v>
      </c>
      <c r="J128" s="501" t="s">
        <v>548</v>
      </c>
      <c r="K128" s="501" t="s">
        <v>516</v>
      </c>
      <c r="L128" s="501" t="s">
        <v>517</v>
      </c>
      <c r="M128" s="501"/>
      <c r="N128" s="507"/>
    </row>
    <row r="129" spans="1:14" s="158" customFormat="1" ht="30" customHeight="1">
      <c r="A129" s="515">
        <v>99</v>
      </c>
      <c r="B129" s="515"/>
      <c r="C129" s="515" t="s">
        <v>512</v>
      </c>
      <c r="D129" s="516" t="s">
        <v>455</v>
      </c>
      <c r="E129" s="517" t="s">
        <v>397</v>
      </c>
      <c r="F129" s="518">
        <v>4</v>
      </c>
      <c r="G129" s="518">
        <v>4</v>
      </c>
      <c r="H129" s="500"/>
      <c r="I129" s="501" t="s">
        <v>559</v>
      </c>
      <c r="J129" s="501" t="s">
        <v>548</v>
      </c>
      <c r="K129" s="501" t="s">
        <v>516</v>
      </c>
      <c r="L129" s="501" t="s">
        <v>517</v>
      </c>
      <c r="M129" s="501"/>
      <c r="N129" s="507"/>
    </row>
    <row r="130" spans="1:14" s="158" customFormat="1" ht="30" customHeight="1">
      <c r="A130" s="515">
        <v>100</v>
      </c>
      <c r="B130" s="515"/>
      <c r="C130" s="515" t="s">
        <v>512</v>
      </c>
      <c r="D130" s="516" t="s">
        <v>473</v>
      </c>
      <c r="E130" s="517" t="s">
        <v>472</v>
      </c>
      <c r="F130" s="518">
        <v>539</v>
      </c>
      <c r="G130" s="518">
        <v>1</v>
      </c>
      <c r="H130" s="500"/>
      <c r="I130" s="501" t="s">
        <v>592</v>
      </c>
      <c r="J130" s="501" t="s">
        <v>616</v>
      </c>
      <c r="K130" s="501" t="s">
        <v>536</v>
      </c>
      <c r="L130" s="501" t="s">
        <v>617</v>
      </c>
      <c r="M130" s="501" t="s">
        <v>491</v>
      </c>
      <c r="N130" s="240"/>
    </row>
    <row r="131" spans="1:14" s="158" customFormat="1" ht="30" customHeight="1">
      <c r="A131" s="515">
        <v>101</v>
      </c>
      <c r="B131" s="515"/>
      <c r="C131" s="515" t="s">
        <v>512</v>
      </c>
      <c r="D131" s="516" t="s">
        <v>474</v>
      </c>
      <c r="E131" s="517" t="s">
        <v>475</v>
      </c>
      <c r="F131" s="518">
        <v>4</v>
      </c>
      <c r="G131" s="518">
        <v>4</v>
      </c>
      <c r="H131" s="500"/>
      <c r="I131" s="501" t="s">
        <v>592</v>
      </c>
      <c r="J131" s="501" t="s">
        <v>616</v>
      </c>
      <c r="K131" s="501" t="s">
        <v>516</v>
      </c>
      <c r="L131" s="501" t="s">
        <v>517</v>
      </c>
      <c r="M131" s="501"/>
      <c r="N131" s="507"/>
    </row>
    <row r="132" spans="1:14" s="158" customFormat="1" ht="30" customHeight="1">
      <c r="A132" s="515">
        <v>102</v>
      </c>
      <c r="B132" s="515"/>
      <c r="C132" s="515" t="s">
        <v>512</v>
      </c>
      <c r="D132" s="516" t="s">
        <v>456</v>
      </c>
      <c r="E132" s="517" t="s">
        <v>62</v>
      </c>
      <c r="F132" s="518">
        <v>87</v>
      </c>
      <c r="G132" s="518">
        <v>87</v>
      </c>
      <c r="H132" s="500"/>
      <c r="I132" s="501" t="s">
        <v>514</v>
      </c>
      <c r="J132" s="501" t="s">
        <v>618</v>
      </c>
      <c r="K132" s="501" t="s">
        <v>609</v>
      </c>
      <c r="L132" s="501" t="s">
        <v>619</v>
      </c>
      <c r="M132" s="501" t="s">
        <v>486</v>
      </c>
      <c r="N132" s="507"/>
    </row>
    <row r="133" spans="1:14" s="158" customFormat="1" ht="30" customHeight="1">
      <c r="A133" s="515">
        <v>103</v>
      </c>
      <c r="B133" s="515"/>
      <c r="C133" s="515" t="s">
        <v>512</v>
      </c>
      <c r="D133" s="516" t="s">
        <v>457</v>
      </c>
      <c r="E133" s="517" t="s">
        <v>381</v>
      </c>
      <c r="F133" s="518">
        <v>248</v>
      </c>
      <c r="G133" s="518">
        <v>183</v>
      </c>
      <c r="H133" s="500"/>
      <c r="I133" s="501" t="s">
        <v>559</v>
      </c>
      <c r="J133" s="501" t="s">
        <v>548</v>
      </c>
      <c r="K133" s="501" t="s">
        <v>516</v>
      </c>
      <c r="L133" s="501" t="s">
        <v>517</v>
      </c>
      <c r="M133" s="501"/>
      <c r="N133" s="507"/>
    </row>
    <row r="134" spans="1:14" s="158" customFormat="1" ht="30" customHeight="1">
      <c r="A134" s="515">
        <v>104</v>
      </c>
      <c r="B134" s="515"/>
      <c r="C134" s="515" t="s">
        <v>512</v>
      </c>
      <c r="D134" s="516" t="s">
        <v>415</v>
      </c>
      <c r="E134" s="517" t="s">
        <v>63</v>
      </c>
      <c r="F134" s="518">
        <v>479</v>
      </c>
      <c r="G134" s="518">
        <v>435</v>
      </c>
      <c r="H134" s="500"/>
      <c r="I134" s="501" t="s">
        <v>559</v>
      </c>
      <c r="J134" s="501" t="s">
        <v>548</v>
      </c>
      <c r="K134" s="501" t="s">
        <v>516</v>
      </c>
      <c r="L134" s="501" t="s">
        <v>517</v>
      </c>
      <c r="M134" s="501"/>
      <c r="N134" s="507"/>
    </row>
    <row r="135" spans="1:14" s="158" customFormat="1" ht="30" customHeight="1">
      <c r="A135" s="515">
        <v>105</v>
      </c>
      <c r="B135" s="515"/>
      <c r="C135" s="515" t="s">
        <v>512</v>
      </c>
      <c r="D135" s="516" t="s">
        <v>458</v>
      </c>
      <c r="E135" s="517" t="s">
        <v>63</v>
      </c>
      <c r="F135" s="518">
        <v>2</v>
      </c>
      <c r="G135" s="518">
        <v>2</v>
      </c>
      <c r="H135" s="500"/>
      <c r="I135" s="501" t="s">
        <v>559</v>
      </c>
      <c r="J135" s="501" t="s">
        <v>548</v>
      </c>
      <c r="K135" s="501" t="s">
        <v>516</v>
      </c>
      <c r="L135" s="501" t="s">
        <v>517</v>
      </c>
      <c r="M135" s="501"/>
      <c r="N135" s="507"/>
    </row>
    <row r="136" spans="1:14" s="158" customFormat="1" ht="30" customHeight="1">
      <c r="A136" s="515">
        <v>106</v>
      </c>
      <c r="B136" s="515"/>
      <c r="C136" s="515" t="s">
        <v>512</v>
      </c>
      <c r="D136" s="516" t="s">
        <v>459</v>
      </c>
      <c r="E136" s="517" t="s">
        <v>63</v>
      </c>
      <c r="F136" s="518">
        <v>24</v>
      </c>
      <c r="G136" s="518">
        <v>24</v>
      </c>
      <c r="H136" s="500"/>
      <c r="I136" s="501" t="s">
        <v>559</v>
      </c>
      <c r="J136" s="501" t="s">
        <v>548</v>
      </c>
      <c r="K136" s="501" t="s">
        <v>516</v>
      </c>
      <c r="L136" s="501" t="s">
        <v>517</v>
      </c>
      <c r="M136" s="501"/>
      <c r="N136" s="507"/>
    </row>
    <row r="137" spans="1:14" s="158" customFormat="1" ht="30" customHeight="1">
      <c r="A137" s="515">
        <v>107</v>
      </c>
      <c r="B137" s="515"/>
      <c r="C137" s="515" t="s">
        <v>512</v>
      </c>
      <c r="D137" s="516" t="s">
        <v>416</v>
      </c>
      <c r="E137" s="517" t="s">
        <v>62</v>
      </c>
      <c r="F137" s="518">
        <v>700</v>
      </c>
      <c r="G137" s="518">
        <v>33</v>
      </c>
      <c r="H137" s="500"/>
      <c r="I137" s="501" t="s">
        <v>532</v>
      </c>
      <c r="J137" s="501" t="s">
        <v>603</v>
      </c>
      <c r="K137" s="501" t="s">
        <v>516</v>
      </c>
      <c r="L137" s="501" t="s">
        <v>517</v>
      </c>
      <c r="M137" s="501"/>
      <c r="N137" s="240"/>
    </row>
    <row r="138" spans="1:14" s="158" customFormat="1" ht="30" customHeight="1">
      <c r="A138" s="515">
        <v>108</v>
      </c>
      <c r="B138" s="515"/>
      <c r="C138" s="515" t="s">
        <v>512</v>
      </c>
      <c r="D138" s="516" t="s">
        <v>417</v>
      </c>
      <c r="E138" s="517" t="s">
        <v>64</v>
      </c>
      <c r="F138" s="518">
        <v>327</v>
      </c>
      <c r="G138" s="518">
        <v>106</v>
      </c>
      <c r="H138" s="500"/>
      <c r="I138" s="501" t="s">
        <v>532</v>
      </c>
      <c r="J138" s="501" t="s">
        <v>602</v>
      </c>
      <c r="K138" s="501" t="s">
        <v>516</v>
      </c>
      <c r="L138" s="501" t="s">
        <v>517</v>
      </c>
      <c r="M138" s="501"/>
      <c r="N138" s="507"/>
    </row>
    <row r="139" spans="1:14" s="158" customFormat="1" ht="30" customHeight="1">
      <c r="A139" s="515">
        <v>109</v>
      </c>
      <c r="B139" s="515"/>
      <c r="C139" s="515" t="s">
        <v>512</v>
      </c>
      <c r="D139" s="516" t="s">
        <v>418</v>
      </c>
      <c r="E139" s="517" t="s">
        <v>381</v>
      </c>
      <c r="F139" s="518">
        <v>4085</v>
      </c>
      <c r="G139" s="518">
        <v>239</v>
      </c>
      <c r="H139" s="500"/>
      <c r="I139" s="501" t="s">
        <v>532</v>
      </c>
      <c r="J139" s="501" t="s">
        <v>603</v>
      </c>
      <c r="K139" s="501" t="s">
        <v>516</v>
      </c>
      <c r="L139" s="501" t="s">
        <v>517</v>
      </c>
      <c r="M139" s="501"/>
      <c r="N139" s="507"/>
    </row>
    <row r="140" spans="1:14" s="158" customFormat="1" ht="30" customHeight="1">
      <c r="A140" s="515">
        <v>110</v>
      </c>
      <c r="B140" s="515"/>
      <c r="C140" s="515" t="s">
        <v>512</v>
      </c>
      <c r="D140" s="516" t="s">
        <v>460</v>
      </c>
      <c r="E140" s="517" t="s">
        <v>64</v>
      </c>
      <c r="F140" s="518">
        <v>403</v>
      </c>
      <c r="G140" s="518">
        <v>403</v>
      </c>
      <c r="H140" s="500"/>
      <c r="I140" s="501" t="s">
        <v>559</v>
      </c>
      <c r="J140" s="501" t="s">
        <v>548</v>
      </c>
      <c r="K140" s="501" t="s">
        <v>516</v>
      </c>
      <c r="L140" s="501" t="s">
        <v>517</v>
      </c>
      <c r="M140" s="501"/>
      <c r="N140" s="507"/>
    </row>
    <row r="141" spans="1:14" s="158" customFormat="1" ht="30" customHeight="1">
      <c r="A141" s="515">
        <v>111</v>
      </c>
      <c r="B141" s="515"/>
      <c r="C141" s="515" t="s">
        <v>512</v>
      </c>
      <c r="D141" s="516" t="s">
        <v>461</v>
      </c>
      <c r="E141" s="517" t="s">
        <v>62</v>
      </c>
      <c r="F141" s="518">
        <v>1074</v>
      </c>
      <c r="G141" s="518">
        <v>236</v>
      </c>
      <c r="H141" s="500"/>
      <c r="I141" s="501" t="s">
        <v>532</v>
      </c>
      <c r="J141" s="501" t="s">
        <v>620</v>
      </c>
      <c r="K141" s="501" t="s">
        <v>559</v>
      </c>
      <c r="L141" s="501" t="s">
        <v>621</v>
      </c>
      <c r="M141" s="501" t="s">
        <v>503</v>
      </c>
      <c r="N141" s="507"/>
    </row>
    <row r="142" spans="1:14" s="158" customFormat="1" ht="30" customHeight="1">
      <c r="A142" s="515">
        <v>112</v>
      </c>
      <c r="B142" s="515"/>
      <c r="C142" s="515" t="s">
        <v>512</v>
      </c>
      <c r="D142" s="516" t="s">
        <v>462</v>
      </c>
      <c r="E142" s="517" t="s">
        <v>62</v>
      </c>
      <c r="F142" s="518">
        <v>1058</v>
      </c>
      <c r="G142" s="518">
        <v>145</v>
      </c>
      <c r="H142" s="500"/>
      <c r="I142" s="501" t="s">
        <v>532</v>
      </c>
      <c r="J142" s="501" t="s">
        <v>620</v>
      </c>
      <c r="K142" s="501" t="s">
        <v>516</v>
      </c>
      <c r="L142" s="501" t="s">
        <v>517</v>
      </c>
      <c r="M142" s="501"/>
      <c r="N142" s="507"/>
    </row>
    <row r="143" spans="1:14" s="158" customFormat="1" ht="30" customHeight="1">
      <c r="A143" s="515">
        <v>113</v>
      </c>
      <c r="B143" s="515"/>
      <c r="C143" s="515" t="s">
        <v>512</v>
      </c>
      <c r="D143" s="516" t="s">
        <v>419</v>
      </c>
      <c r="E143" s="517" t="s">
        <v>63</v>
      </c>
      <c r="F143" s="518">
        <v>4</v>
      </c>
      <c r="G143" s="518">
        <v>1</v>
      </c>
      <c r="H143" s="500"/>
      <c r="I143" s="501" t="s">
        <v>532</v>
      </c>
      <c r="J143" s="501" t="s">
        <v>603</v>
      </c>
      <c r="K143" s="501" t="s">
        <v>516</v>
      </c>
      <c r="L143" s="501" t="s">
        <v>517</v>
      </c>
      <c r="M143" s="501"/>
      <c r="N143" s="507"/>
    </row>
    <row r="144" spans="1:14" s="158" customFormat="1" ht="30" customHeight="1">
      <c r="A144" s="515">
        <v>114</v>
      </c>
      <c r="B144" s="515"/>
      <c r="C144" s="515" t="s">
        <v>512</v>
      </c>
      <c r="D144" s="516">
        <v>813</v>
      </c>
      <c r="E144" s="517" t="s">
        <v>63</v>
      </c>
      <c r="F144" s="518">
        <v>1091</v>
      </c>
      <c r="G144" s="518">
        <v>442</v>
      </c>
      <c r="H144" s="500"/>
      <c r="I144" s="501" t="s">
        <v>547</v>
      </c>
      <c r="J144" s="501" t="s">
        <v>548</v>
      </c>
      <c r="K144" s="501" t="s">
        <v>516</v>
      </c>
      <c r="L144" s="501" t="s">
        <v>517</v>
      </c>
      <c r="M144" s="501"/>
      <c r="N144" s="507"/>
    </row>
    <row r="145" spans="1:14" s="158" customFormat="1" ht="30" customHeight="1">
      <c r="A145" s="515">
        <v>115</v>
      </c>
      <c r="B145" s="515"/>
      <c r="C145" s="515" t="s">
        <v>512</v>
      </c>
      <c r="D145" s="516" t="s">
        <v>420</v>
      </c>
      <c r="E145" s="517" t="s">
        <v>397</v>
      </c>
      <c r="F145" s="518">
        <v>1070</v>
      </c>
      <c r="G145" s="518">
        <v>32</v>
      </c>
      <c r="H145" s="500"/>
      <c r="I145" s="501" t="s">
        <v>622</v>
      </c>
      <c r="J145" s="501" t="s">
        <v>623</v>
      </c>
      <c r="K145" s="501" t="s">
        <v>536</v>
      </c>
      <c r="L145" s="501" t="s">
        <v>537</v>
      </c>
      <c r="M145" s="501" t="s">
        <v>483</v>
      </c>
      <c r="N145" s="507"/>
    </row>
    <row r="146" spans="1:14" s="158" customFormat="1" ht="30" customHeight="1">
      <c r="A146" s="515">
        <v>116</v>
      </c>
      <c r="B146" s="515"/>
      <c r="C146" s="515" t="s">
        <v>512</v>
      </c>
      <c r="D146" s="516" t="s">
        <v>421</v>
      </c>
      <c r="E146" s="517" t="s">
        <v>397</v>
      </c>
      <c r="F146" s="518">
        <v>609</v>
      </c>
      <c r="G146" s="518">
        <v>4</v>
      </c>
      <c r="H146" s="500"/>
      <c r="I146" s="501" t="s">
        <v>569</v>
      </c>
      <c r="J146" s="501" t="s">
        <v>624</v>
      </c>
      <c r="K146" s="501" t="s">
        <v>554</v>
      </c>
      <c r="L146" s="501" t="s">
        <v>548</v>
      </c>
      <c r="M146" s="504" t="s">
        <v>504</v>
      </c>
      <c r="N146" s="507"/>
    </row>
    <row r="147" spans="1:14" s="158" customFormat="1" ht="30" customHeight="1">
      <c r="A147" s="515">
        <v>117</v>
      </c>
      <c r="B147" s="515"/>
      <c r="C147" s="515" t="s">
        <v>512</v>
      </c>
      <c r="D147" s="516" t="s">
        <v>422</v>
      </c>
      <c r="E147" s="517" t="s">
        <v>397</v>
      </c>
      <c r="F147" s="518">
        <v>829</v>
      </c>
      <c r="G147" s="518">
        <v>71</v>
      </c>
      <c r="H147" s="500"/>
      <c r="I147" s="501" t="s">
        <v>514</v>
      </c>
      <c r="J147" s="501" t="s">
        <v>515</v>
      </c>
      <c r="K147" s="501" t="s">
        <v>516</v>
      </c>
      <c r="L147" s="501" t="s">
        <v>517</v>
      </c>
      <c r="M147" s="501"/>
      <c r="N147" s="507"/>
    </row>
    <row r="148" spans="1:14" s="158" customFormat="1" ht="30" customHeight="1">
      <c r="A148" s="515">
        <v>118</v>
      </c>
      <c r="B148" s="515"/>
      <c r="C148" s="515" t="s">
        <v>512</v>
      </c>
      <c r="D148" s="516" t="s">
        <v>423</v>
      </c>
      <c r="E148" s="517" t="s">
        <v>397</v>
      </c>
      <c r="F148" s="518">
        <v>121</v>
      </c>
      <c r="G148" s="518">
        <v>55</v>
      </c>
      <c r="H148" s="500"/>
      <c r="I148" s="501" t="s">
        <v>514</v>
      </c>
      <c r="J148" s="501" t="s">
        <v>515</v>
      </c>
      <c r="K148" s="501" t="s">
        <v>516</v>
      </c>
      <c r="L148" s="501" t="s">
        <v>517</v>
      </c>
      <c r="M148" s="501"/>
      <c r="N148" s="507"/>
    </row>
    <row r="149" spans="1:14" s="158" customFormat="1" ht="30" customHeight="1">
      <c r="A149" s="515">
        <v>119</v>
      </c>
      <c r="B149" s="515"/>
      <c r="C149" s="515" t="s">
        <v>512</v>
      </c>
      <c r="D149" s="516" t="s">
        <v>424</v>
      </c>
      <c r="E149" s="517" t="s">
        <v>63</v>
      </c>
      <c r="F149" s="518">
        <v>22</v>
      </c>
      <c r="G149" s="518">
        <v>22</v>
      </c>
      <c r="H149" s="500"/>
      <c r="I149" s="501" t="s">
        <v>514</v>
      </c>
      <c r="J149" s="501" t="s">
        <v>515</v>
      </c>
      <c r="K149" s="501" t="s">
        <v>516</v>
      </c>
      <c r="L149" s="501" t="s">
        <v>517</v>
      </c>
      <c r="M149" s="501"/>
      <c r="N149" s="507"/>
    </row>
    <row r="150" spans="1:14" s="158" customFormat="1" ht="30" customHeight="1">
      <c r="A150" s="515">
        <v>120</v>
      </c>
      <c r="B150" s="515"/>
      <c r="C150" s="515" t="s">
        <v>512</v>
      </c>
      <c r="D150" s="516" t="s">
        <v>425</v>
      </c>
      <c r="E150" s="517" t="s">
        <v>399</v>
      </c>
      <c r="F150" s="518">
        <v>325</v>
      </c>
      <c r="G150" s="518">
        <v>6</v>
      </c>
      <c r="H150" s="500"/>
      <c r="I150" s="501" t="s">
        <v>514</v>
      </c>
      <c r="J150" s="501" t="s">
        <v>515</v>
      </c>
      <c r="K150" s="501" t="s">
        <v>516</v>
      </c>
      <c r="L150" s="501" t="s">
        <v>517</v>
      </c>
      <c r="M150" s="501"/>
      <c r="N150" s="507"/>
    </row>
    <row r="151" spans="1:14" s="158" customFormat="1" ht="30" customHeight="1">
      <c r="A151" s="515">
        <v>121</v>
      </c>
      <c r="B151" s="515"/>
      <c r="C151" s="515" t="s">
        <v>512</v>
      </c>
      <c r="D151" s="516" t="s">
        <v>426</v>
      </c>
      <c r="E151" s="517" t="s">
        <v>397</v>
      </c>
      <c r="F151" s="518">
        <v>944</v>
      </c>
      <c r="G151" s="518">
        <v>2</v>
      </c>
      <c r="H151" s="500"/>
      <c r="I151" s="501" t="s">
        <v>514</v>
      </c>
      <c r="J151" s="501" t="s">
        <v>515</v>
      </c>
      <c r="K151" s="501" t="s">
        <v>516</v>
      </c>
      <c r="L151" s="501" t="s">
        <v>517</v>
      </c>
      <c r="M151" s="501"/>
      <c r="N151" s="507"/>
    </row>
    <row r="152" spans="1:14" s="158" customFormat="1" ht="30" customHeight="1">
      <c r="A152" s="515">
        <v>122</v>
      </c>
      <c r="B152" s="515"/>
      <c r="C152" s="515" t="s">
        <v>512</v>
      </c>
      <c r="D152" s="516" t="s">
        <v>427</v>
      </c>
      <c r="E152" s="517" t="s">
        <v>63</v>
      </c>
      <c r="F152" s="518">
        <v>31</v>
      </c>
      <c r="G152" s="518">
        <v>13</v>
      </c>
      <c r="H152" s="500"/>
      <c r="I152" s="501" t="s">
        <v>607</v>
      </c>
      <c r="J152" s="501" t="s">
        <v>625</v>
      </c>
      <c r="K152" s="501" t="s">
        <v>609</v>
      </c>
      <c r="L152" s="501" t="s">
        <v>626</v>
      </c>
      <c r="M152" s="501" t="s">
        <v>486</v>
      </c>
      <c r="N152" s="507"/>
    </row>
    <row r="153" spans="1:14" s="158" customFormat="1" ht="30" customHeight="1">
      <c r="A153" s="515">
        <v>123</v>
      </c>
      <c r="B153" s="515"/>
      <c r="C153" s="515" t="s">
        <v>512</v>
      </c>
      <c r="D153" s="516" t="s">
        <v>428</v>
      </c>
      <c r="E153" s="517" t="s">
        <v>62</v>
      </c>
      <c r="F153" s="518">
        <v>26</v>
      </c>
      <c r="G153" s="518">
        <v>26</v>
      </c>
      <c r="H153" s="500"/>
      <c r="I153" s="501" t="s">
        <v>569</v>
      </c>
      <c r="J153" s="501" t="s">
        <v>627</v>
      </c>
      <c r="K153" s="501" t="s">
        <v>516</v>
      </c>
      <c r="L153" s="501" t="s">
        <v>517</v>
      </c>
      <c r="M153" s="501"/>
      <c r="N153" s="507"/>
    </row>
    <row r="154" spans="1:14" s="158" customFormat="1" ht="30" customHeight="1">
      <c r="A154" s="515">
        <v>124</v>
      </c>
      <c r="B154" s="515"/>
      <c r="C154" s="515" t="s">
        <v>512</v>
      </c>
      <c r="D154" s="516" t="s">
        <v>429</v>
      </c>
      <c r="E154" s="517" t="s">
        <v>62</v>
      </c>
      <c r="F154" s="518">
        <v>443</v>
      </c>
      <c r="G154" s="518">
        <v>226</v>
      </c>
      <c r="H154" s="500"/>
      <c r="I154" s="501" t="s">
        <v>532</v>
      </c>
      <c r="J154" s="501" t="s">
        <v>628</v>
      </c>
      <c r="K154" s="501" t="s">
        <v>516</v>
      </c>
      <c r="L154" s="501" t="s">
        <v>517</v>
      </c>
      <c r="M154" s="501"/>
      <c r="N154" s="507"/>
    </row>
    <row r="155" spans="1:14" s="158" customFormat="1" ht="30" customHeight="1">
      <c r="A155" s="515">
        <v>125</v>
      </c>
      <c r="B155" s="515"/>
      <c r="C155" s="515" t="s">
        <v>512</v>
      </c>
      <c r="D155" s="516" t="s">
        <v>430</v>
      </c>
      <c r="E155" s="517" t="s">
        <v>62</v>
      </c>
      <c r="F155" s="518">
        <v>113</v>
      </c>
      <c r="G155" s="518">
        <v>113</v>
      </c>
      <c r="H155" s="500"/>
      <c r="I155" s="501" t="s">
        <v>569</v>
      </c>
      <c r="J155" s="501" t="s">
        <v>627</v>
      </c>
      <c r="K155" s="501" t="s">
        <v>516</v>
      </c>
      <c r="L155" s="501" t="s">
        <v>517</v>
      </c>
      <c r="M155" s="501"/>
      <c r="N155" s="507"/>
    </row>
    <row r="156" spans="1:14" s="158" customFormat="1" ht="30" customHeight="1">
      <c r="A156" s="515">
        <v>126</v>
      </c>
      <c r="B156" s="515"/>
      <c r="C156" s="515" t="s">
        <v>512</v>
      </c>
      <c r="D156" s="516" t="s">
        <v>431</v>
      </c>
      <c r="E156" s="517" t="s">
        <v>432</v>
      </c>
      <c r="F156" s="518">
        <v>188</v>
      </c>
      <c r="G156" s="518">
        <v>127</v>
      </c>
      <c r="H156" s="502"/>
      <c r="I156" s="501" t="s">
        <v>569</v>
      </c>
      <c r="J156" s="501" t="s">
        <v>627</v>
      </c>
      <c r="K156" s="501" t="s">
        <v>516</v>
      </c>
      <c r="L156" s="501" t="s">
        <v>517</v>
      </c>
      <c r="M156" s="501"/>
      <c r="N156" s="507"/>
    </row>
    <row r="157" spans="1:14" s="158" customFormat="1" ht="30" customHeight="1">
      <c r="A157" s="515">
        <v>127</v>
      </c>
      <c r="B157" s="515"/>
      <c r="C157" s="515" t="s">
        <v>512</v>
      </c>
      <c r="D157" s="516" t="s">
        <v>476</v>
      </c>
      <c r="E157" s="517" t="s">
        <v>477</v>
      </c>
      <c r="F157" s="518">
        <v>4394</v>
      </c>
      <c r="G157" s="518">
        <v>125</v>
      </c>
      <c r="H157" s="500"/>
      <c r="I157" s="501" t="s">
        <v>547</v>
      </c>
      <c r="J157" s="501" t="s">
        <v>548</v>
      </c>
      <c r="K157" s="501" t="s">
        <v>516</v>
      </c>
      <c r="L157" s="501" t="s">
        <v>517</v>
      </c>
      <c r="M157" s="501"/>
      <c r="N157" s="507"/>
    </row>
    <row r="158" spans="1:14" s="158" customFormat="1" ht="30" customHeight="1">
      <c r="A158" s="515">
        <v>128</v>
      </c>
      <c r="B158" s="515"/>
      <c r="C158" s="515" t="s">
        <v>512</v>
      </c>
      <c r="D158" s="516" t="s">
        <v>478</v>
      </c>
      <c r="E158" s="517" t="s">
        <v>479</v>
      </c>
      <c r="F158" s="518">
        <v>209</v>
      </c>
      <c r="G158" s="518">
        <v>52</v>
      </c>
      <c r="H158" s="500"/>
      <c r="I158" s="501" t="s">
        <v>547</v>
      </c>
      <c r="J158" s="501" t="s">
        <v>548</v>
      </c>
      <c r="K158" s="501" t="s">
        <v>516</v>
      </c>
      <c r="L158" s="501" t="s">
        <v>517</v>
      </c>
      <c r="M158" s="501"/>
      <c r="N158" s="507"/>
    </row>
    <row r="159" spans="1:14" s="158" customFormat="1" ht="30" customHeight="1">
      <c r="A159" s="515">
        <v>129</v>
      </c>
      <c r="B159" s="515"/>
      <c r="C159" s="515" t="s">
        <v>512</v>
      </c>
      <c r="D159" s="516" t="s">
        <v>433</v>
      </c>
      <c r="E159" s="517" t="s">
        <v>362</v>
      </c>
      <c r="F159" s="518">
        <v>466</v>
      </c>
      <c r="G159" s="518">
        <v>42</v>
      </c>
      <c r="H159" s="500"/>
      <c r="I159" s="501" t="s">
        <v>547</v>
      </c>
      <c r="J159" s="501" t="s">
        <v>548</v>
      </c>
      <c r="K159" s="501" t="s">
        <v>516</v>
      </c>
      <c r="L159" s="501" t="s">
        <v>517</v>
      </c>
      <c r="M159" s="501"/>
      <c r="N159" s="507"/>
    </row>
    <row r="160" spans="1:14" s="158" customFormat="1" ht="30" customHeight="1">
      <c r="A160" s="515">
        <v>130</v>
      </c>
      <c r="B160" s="515"/>
      <c r="C160" s="515" t="s">
        <v>512</v>
      </c>
      <c r="D160" s="516" t="s">
        <v>434</v>
      </c>
      <c r="E160" s="517" t="s">
        <v>381</v>
      </c>
      <c r="F160" s="518">
        <v>31636</v>
      </c>
      <c r="G160" s="518">
        <v>4286</v>
      </c>
      <c r="H160" s="500"/>
      <c r="I160" s="501" t="s">
        <v>532</v>
      </c>
      <c r="J160" s="501" t="s">
        <v>620</v>
      </c>
      <c r="K160" s="501" t="s">
        <v>516</v>
      </c>
      <c r="L160" s="501" t="s">
        <v>517</v>
      </c>
      <c r="M160" s="501"/>
      <c r="N160" s="507"/>
    </row>
    <row r="161" spans="1:14" s="158" customFormat="1" ht="30" customHeight="1">
      <c r="A161" s="515">
        <v>131</v>
      </c>
      <c r="B161" s="515"/>
      <c r="C161" s="515" t="s">
        <v>512</v>
      </c>
      <c r="D161" s="516" t="s">
        <v>435</v>
      </c>
      <c r="E161" s="517" t="s">
        <v>63</v>
      </c>
      <c r="F161" s="518">
        <v>7</v>
      </c>
      <c r="G161" s="518">
        <v>7</v>
      </c>
      <c r="H161" s="500"/>
      <c r="I161" s="501" t="s">
        <v>514</v>
      </c>
      <c r="J161" s="501" t="s">
        <v>515</v>
      </c>
      <c r="K161" s="501" t="s">
        <v>516</v>
      </c>
      <c r="L161" s="501" t="s">
        <v>517</v>
      </c>
      <c r="M161" s="501"/>
      <c r="N161" s="507"/>
    </row>
    <row r="162" spans="1:14" s="158" customFormat="1" ht="30" customHeight="1">
      <c r="A162" s="515">
        <v>132</v>
      </c>
      <c r="B162" s="515">
        <v>1</v>
      </c>
      <c r="C162" s="515" t="s">
        <v>512</v>
      </c>
      <c r="D162" s="516" t="s">
        <v>442</v>
      </c>
      <c r="E162" s="517" t="s">
        <v>64</v>
      </c>
      <c r="F162" s="518">
        <v>1190</v>
      </c>
      <c r="G162" s="518">
        <v>65</v>
      </c>
      <c r="H162" s="500" t="s">
        <v>505</v>
      </c>
      <c r="I162" s="501" t="s">
        <v>582</v>
      </c>
      <c r="J162" s="501" t="s">
        <v>629</v>
      </c>
      <c r="K162" s="501" t="s">
        <v>516</v>
      </c>
      <c r="L162" s="501" t="s">
        <v>517</v>
      </c>
      <c r="M162" s="501"/>
      <c r="N162" s="240"/>
    </row>
    <row r="163" spans="1:14" s="158" customFormat="1" ht="30" customHeight="1">
      <c r="A163" s="515">
        <v>132</v>
      </c>
      <c r="B163" s="515">
        <v>2</v>
      </c>
      <c r="C163" s="515" t="s">
        <v>512</v>
      </c>
      <c r="D163" s="516" t="s">
        <v>442</v>
      </c>
      <c r="E163" s="517" t="s">
        <v>381</v>
      </c>
      <c r="F163" s="518">
        <v>1190</v>
      </c>
      <c r="G163" s="518">
        <v>65</v>
      </c>
      <c r="H163" s="500" t="s">
        <v>506</v>
      </c>
      <c r="I163" s="501" t="s">
        <v>532</v>
      </c>
      <c r="J163" s="501" t="s">
        <v>630</v>
      </c>
      <c r="K163" s="501" t="s">
        <v>516</v>
      </c>
      <c r="L163" s="501" t="s">
        <v>517</v>
      </c>
      <c r="M163" s="501"/>
      <c r="N163" s="240"/>
    </row>
    <row r="164" spans="1:14" s="158" customFormat="1" ht="30" customHeight="1">
      <c r="A164" s="515">
        <v>133</v>
      </c>
      <c r="B164" s="515"/>
      <c r="C164" s="515" t="s">
        <v>512</v>
      </c>
      <c r="D164" s="516" t="s">
        <v>441</v>
      </c>
      <c r="E164" s="517" t="s">
        <v>63</v>
      </c>
      <c r="F164" s="518">
        <v>30</v>
      </c>
      <c r="G164" s="518">
        <v>6</v>
      </c>
      <c r="H164" s="500"/>
      <c r="I164" s="501" t="s">
        <v>569</v>
      </c>
      <c r="J164" s="501" t="s">
        <v>627</v>
      </c>
      <c r="K164" s="501" t="s">
        <v>516</v>
      </c>
      <c r="L164" s="501" t="s">
        <v>517</v>
      </c>
      <c r="M164" s="501"/>
      <c r="N164" s="507"/>
    </row>
    <row r="165" spans="1:14" s="158" customFormat="1" ht="30" customHeight="1">
      <c r="A165" s="515">
        <v>134</v>
      </c>
      <c r="B165" s="515"/>
      <c r="C165" s="515" t="s">
        <v>512</v>
      </c>
      <c r="D165" s="516" t="s">
        <v>436</v>
      </c>
      <c r="E165" s="517" t="s">
        <v>432</v>
      </c>
      <c r="F165" s="518">
        <v>18</v>
      </c>
      <c r="G165" s="518">
        <v>4</v>
      </c>
      <c r="H165" s="500"/>
      <c r="I165" s="501" t="s">
        <v>569</v>
      </c>
      <c r="J165" s="501" t="s">
        <v>627</v>
      </c>
      <c r="K165" s="501" t="s">
        <v>516</v>
      </c>
      <c r="L165" s="501" t="s">
        <v>517</v>
      </c>
      <c r="M165" s="501"/>
      <c r="N165" s="507"/>
    </row>
    <row r="166" spans="1:14" s="158" customFormat="1" ht="30" customHeight="1">
      <c r="A166" s="515">
        <v>135</v>
      </c>
      <c r="B166" s="515"/>
      <c r="C166" s="515" t="s">
        <v>512</v>
      </c>
      <c r="D166" s="516" t="s">
        <v>437</v>
      </c>
      <c r="E166" s="517" t="s">
        <v>62</v>
      </c>
      <c r="F166" s="518">
        <v>357</v>
      </c>
      <c r="G166" s="518">
        <v>101</v>
      </c>
      <c r="H166" s="500"/>
      <c r="I166" s="501" t="s">
        <v>600</v>
      </c>
      <c r="J166" s="501" t="s">
        <v>631</v>
      </c>
      <c r="K166" s="501" t="s">
        <v>516</v>
      </c>
      <c r="L166" s="501" t="s">
        <v>517</v>
      </c>
      <c r="M166" s="501"/>
      <c r="N166" s="507"/>
    </row>
    <row r="167" spans="1:14" s="158" customFormat="1" ht="30" customHeight="1">
      <c r="A167" s="515">
        <v>136</v>
      </c>
      <c r="B167" s="515"/>
      <c r="C167" s="515" t="s">
        <v>512</v>
      </c>
      <c r="D167" s="516" t="s">
        <v>438</v>
      </c>
      <c r="E167" s="517" t="s">
        <v>62</v>
      </c>
      <c r="F167" s="518">
        <v>1323</v>
      </c>
      <c r="G167" s="518">
        <v>400</v>
      </c>
      <c r="H167" s="500"/>
      <c r="I167" s="501" t="s">
        <v>600</v>
      </c>
      <c r="J167" s="501" t="s">
        <v>632</v>
      </c>
      <c r="K167" s="501" t="s">
        <v>633</v>
      </c>
      <c r="L167" s="501" t="s">
        <v>548</v>
      </c>
      <c r="M167" s="504" t="s">
        <v>507</v>
      </c>
      <c r="N167" s="507"/>
    </row>
    <row r="168" spans="1:14" s="158" customFormat="1" ht="30" customHeight="1">
      <c r="A168" s="515">
        <v>137</v>
      </c>
      <c r="B168" s="515"/>
      <c r="C168" s="515" t="s">
        <v>512</v>
      </c>
      <c r="D168" s="516" t="s">
        <v>439</v>
      </c>
      <c r="E168" s="517" t="s">
        <v>62</v>
      </c>
      <c r="F168" s="518">
        <v>1653</v>
      </c>
      <c r="G168" s="518">
        <v>988</v>
      </c>
      <c r="H168" s="500"/>
      <c r="I168" s="501" t="s">
        <v>600</v>
      </c>
      <c r="J168" s="501" t="s">
        <v>634</v>
      </c>
      <c r="K168" s="501" t="s">
        <v>516</v>
      </c>
      <c r="L168" s="501" t="s">
        <v>517</v>
      </c>
      <c r="M168" s="501"/>
      <c r="N168" s="507"/>
    </row>
    <row r="169" spans="1:14" s="158" customFormat="1" ht="30" customHeight="1">
      <c r="A169" s="515">
        <v>138</v>
      </c>
      <c r="B169" s="515">
        <v>1</v>
      </c>
      <c r="C169" s="515" t="s">
        <v>512</v>
      </c>
      <c r="D169" s="516" t="s">
        <v>440</v>
      </c>
      <c r="E169" s="517" t="s">
        <v>397</v>
      </c>
      <c r="F169" s="518">
        <v>3242</v>
      </c>
      <c r="G169" s="518">
        <v>4</v>
      </c>
      <c r="H169" s="500" t="s">
        <v>510</v>
      </c>
      <c r="I169" s="501" t="s">
        <v>532</v>
      </c>
      <c r="J169" s="501" t="s">
        <v>635</v>
      </c>
      <c r="K169" s="501" t="s">
        <v>516</v>
      </c>
      <c r="L169" s="501" t="s">
        <v>517</v>
      </c>
      <c r="M169" s="501"/>
      <c r="N169" s="240"/>
    </row>
    <row r="170" spans="1:14" s="158" customFormat="1" ht="30" customHeight="1">
      <c r="A170" s="515">
        <v>139</v>
      </c>
      <c r="B170" s="515">
        <v>2</v>
      </c>
      <c r="C170" s="515" t="s">
        <v>512</v>
      </c>
      <c r="D170" s="516" t="s">
        <v>440</v>
      </c>
      <c r="E170" s="517" t="s">
        <v>66</v>
      </c>
      <c r="F170" s="518">
        <v>3242</v>
      </c>
      <c r="G170" s="518">
        <v>4</v>
      </c>
      <c r="H170" s="500" t="s">
        <v>508</v>
      </c>
      <c r="I170" s="501" t="s">
        <v>528</v>
      </c>
      <c r="J170" s="501" t="s">
        <v>636</v>
      </c>
      <c r="K170" s="501" t="s">
        <v>536</v>
      </c>
      <c r="L170" s="501" t="s">
        <v>537</v>
      </c>
      <c r="M170" s="501" t="s">
        <v>486</v>
      </c>
      <c r="N170" s="240"/>
    </row>
    <row r="171" spans="1:14" s="158" customFormat="1" ht="30" customHeight="1">
      <c r="A171" s="515">
        <v>140</v>
      </c>
      <c r="B171" s="515">
        <v>3</v>
      </c>
      <c r="C171" s="515" t="s">
        <v>512</v>
      </c>
      <c r="D171" s="516" t="s">
        <v>440</v>
      </c>
      <c r="E171" s="517" t="s">
        <v>66</v>
      </c>
      <c r="F171" s="518">
        <v>3242</v>
      </c>
      <c r="G171" s="518">
        <v>4</v>
      </c>
      <c r="H171" s="500" t="s">
        <v>509</v>
      </c>
      <c r="I171" s="501" t="s">
        <v>607</v>
      </c>
      <c r="J171" s="501" t="s">
        <v>637</v>
      </c>
      <c r="K171" s="501" t="s">
        <v>516</v>
      </c>
      <c r="L171" s="501" t="s">
        <v>517</v>
      </c>
      <c r="M171" s="501"/>
      <c r="N171" s="240"/>
    </row>
    <row r="172" spans="1:14" s="158" customFormat="1" ht="30" customHeight="1">
      <c r="A172" s="433"/>
      <c r="B172" s="436"/>
      <c r="C172" s="436"/>
      <c r="D172" s="226"/>
      <c r="E172" s="227"/>
      <c r="F172" s="434"/>
      <c r="G172" s="435"/>
      <c r="H172" s="500"/>
      <c r="I172" s="501"/>
      <c r="J172" s="194"/>
      <c r="K172" s="194"/>
      <c r="L172" s="194"/>
      <c r="M172" s="501"/>
      <c r="N172" s="199"/>
    </row>
    <row r="173" spans="1:14" ht="32.1" customHeight="1">
      <c r="F173" s="155"/>
      <c r="G173" s="431"/>
      <c r="J173" s="113"/>
    </row>
    <row r="174" spans="1:14" ht="32.1" customHeight="1">
      <c r="F174" s="155"/>
      <c r="G174" s="431"/>
      <c r="J174" s="113"/>
    </row>
    <row r="175" spans="1:14" ht="32.1" customHeight="1">
      <c r="F175" s="155"/>
      <c r="G175" s="431"/>
      <c r="J175" s="113"/>
    </row>
    <row r="176" spans="1:14" ht="32.1" customHeight="1">
      <c r="F176" s="155"/>
      <c r="G176" s="431"/>
      <c r="J176" s="113"/>
    </row>
    <row r="177" spans="6:10" ht="32.1" customHeight="1">
      <c r="F177" s="155"/>
      <c r="G177" s="431"/>
      <c r="J177" s="113"/>
    </row>
    <row r="178" spans="6:10" ht="32.1" customHeight="1">
      <c r="F178" s="155"/>
      <c r="G178" s="431"/>
      <c r="J178" s="113"/>
    </row>
    <row r="179" spans="6:10" ht="32.1" customHeight="1">
      <c r="F179" s="155"/>
      <c r="G179" s="431"/>
      <c r="J179" s="113"/>
    </row>
    <row r="180" spans="6:10" ht="32.1" customHeight="1">
      <c r="F180" s="155"/>
      <c r="G180" s="431"/>
      <c r="J180" s="113"/>
    </row>
    <row r="181" spans="6:10" ht="32.1" customHeight="1">
      <c r="F181" s="155"/>
      <c r="G181" s="431"/>
      <c r="J181" s="113"/>
    </row>
    <row r="182" spans="6:10" ht="32.1" customHeight="1">
      <c r="F182" s="155"/>
      <c r="G182" s="431"/>
      <c r="J182" s="113"/>
    </row>
    <row r="183" spans="6:10" ht="32.1" customHeight="1">
      <c r="F183" s="155"/>
      <c r="G183" s="431"/>
      <c r="J183" s="113"/>
    </row>
    <row r="184" spans="6:10" ht="32.1" customHeight="1">
      <c r="F184" s="155"/>
      <c r="G184" s="431"/>
      <c r="J184" s="113"/>
    </row>
    <row r="185" spans="6:10" ht="32.1" customHeight="1">
      <c r="F185" s="155"/>
      <c r="G185" s="431"/>
      <c r="J185" s="113"/>
    </row>
    <row r="186" spans="6:10" ht="32.1" customHeight="1">
      <c r="F186" s="155"/>
      <c r="G186" s="431"/>
      <c r="J186" s="113"/>
    </row>
    <row r="187" spans="6:10" ht="32.1" customHeight="1">
      <c r="F187" s="155"/>
      <c r="G187" s="431"/>
      <c r="J187" s="113"/>
    </row>
    <row r="188" spans="6:10" ht="32.1" customHeight="1">
      <c r="F188" s="155"/>
      <c r="G188" s="431"/>
      <c r="J188" s="113"/>
    </row>
    <row r="189" spans="6:10" ht="32.1" customHeight="1">
      <c r="F189" s="155"/>
      <c r="G189" s="431"/>
      <c r="J189" s="113"/>
    </row>
    <row r="190" spans="6:10" ht="32.1" customHeight="1">
      <c r="F190" s="155"/>
      <c r="G190" s="431"/>
      <c r="J190" s="113"/>
    </row>
    <row r="191" spans="6:10" ht="32.1" customHeight="1">
      <c r="F191" s="155"/>
      <c r="G191" s="431"/>
      <c r="J191" s="113"/>
    </row>
    <row r="192" spans="6:10" ht="32.1" customHeight="1">
      <c r="F192" s="155"/>
      <c r="G192" s="431"/>
      <c r="J192" s="113"/>
    </row>
    <row r="193" spans="6:10" ht="32.1" customHeight="1">
      <c r="F193" s="155"/>
      <c r="G193" s="431"/>
      <c r="J193" s="113"/>
    </row>
    <row r="194" spans="6:10" ht="32.1" customHeight="1">
      <c r="F194" s="155"/>
      <c r="G194" s="431"/>
      <c r="J194" s="113"/>
    </row>
    <row r="195" spans="6:10" ht="32.1" customHeight="1">
      <c r="F195" s="155"/>
      <c r="G195" s="431"/>
      <c r="J195" s="113"/>
    </row>
    <row r="196" spans="6:10" ht="32.1" customHeight="1">
      <c r="F196" s="155"/>
      <c r="G196" s="431"/>
      <c r="J196" s="113"/>
    </row>
    <row r="197" spans="6:10" ht="32.1" customHeight="1">
      <c r="F197" s="155"/>
      <c r="G197" s="431"/>
      <c r="J197" s="113"/>
    </row>
    <row r="198" spans="6:10" ht="32.1" customHeight="1">
      <c r="F198" s="155"/>
      <c r="G198" s="431"/>
      <c r="J198" s="113"/>
    </row>
    <row r="199" spans="6:10" ht="32.1" customHeight="1">
      <c r="F199" s="155"/>
      <c r="G199" s="431"/>
      <c r="J199" s="113"/>
    </row>
    <row r="200" spans="6:10" ht="32.1" customHeight="1">
      <c r="F200" s="155"/>
      <c r="G200" s="431"/>
      <c r="J200" s="113"/>
    </row>
    <row r="201" spans="6:10" ht="32.1" customHeight="1">
      <c r="F201" s="155"/>
      <c r="G201" s="431"/>
      <c r="J201" s="113"/>
    </row>
    <row r="202" spans="6:10" ht="32.1" customHeight="1">
      <c r="F202" s="155"/>
      <c r="G202" s="431"/>
      <c r="J202" s="113"/>
    </row>
    <row r="203" spans="6:10" ht="32.1" customHeight="1">
      <c r="F203" s="155"/>
      <c r="G203" s="431"/>
      <c r="J203" s="113"/>
    </row>
    <row r="204" spans="6:10" ht="32.1" customHeight="1">
      <c r="F204" s="155"/>
      <c r="G204" s="431"/>
      <c r="J204" s="113"/>
    </row>
    <row r="205" spans="6:10" ht="32.1" customHeight="1">
      <c r="F205" s="155"/>
      <c r="G205" s="431"/>
      <c r="J205" s="113"/>
    </row>
    <row r="206" spans="6:10" ht="32.1" customHeight="1">
      <c r="F206" s="155"/>
      <c r="G206" s="431"/>
      <c r="J206" s="113"/>
    </row>
    <row r="207" spans="6:10" ht="32.1" customHeight="1">
      <c r="F207" s="155"/>
      <c r="G207" s="431"/>
      <c r="J207" s="113"/>
    </row>
    <row r="208" spans="6:10" ht="32.1" customHeight="1">
      <c r="F208" s="155"/>
      <c r="G208" s="431"/>
      <c r="J208" s="113"/>
    </row>
    <row r="209" spans="6:10" ht="32.1" customHeight="1">
      <c r="F209" s="155"/>
      <c r="G209" s="431"/>
      <c r="J209" s="113"/>
    </row>
    <row r="210" spans="6:10" ht="32.1" customHeight="1">
      <c r="F210" s="155"/>
      <c r="G210" s="431"/>
      <c r="J210" s="113"/>
    </row>
    <row r="211" spans="6:10" ht="32.1" customHeight="1">
      <c r="F211" s="155"/>
      <c r="G211" s="431"/>
      <c r="J211" s="113"/>
    </row>
    <row r="212" spans="6:10" ht="32.1" customHeight="1">
      <c r="F212" s="155"/>
      <c r="G212" s="431"/>
      <c r="J212" s="113"/>
    </row>
    <row r="213" spans="6:10" ht="32.1" customHeight="1">
      <c r="F213" s="155"/>
      <c r="G213" s="431"/>
      <c r="J213" s="113"/>
    </row>
    <row r="214" spans="6:10" ht="32.1" customHeight="1">
      <c r="F214" s="155"/>
      <c r="G214" s="431"/>
      <c r="J214" s="113"/>
    </row>
    <row r="215" spans="6:10" ht="32.1" customHeight="1">
      <c r="F215" s="155"/>
      <c r="G215" s="431"/>
      <c r="J215" s="113"/>
    </row>
    <row r="216" spans="6:10" ht="32.1" customHeight="1">
      <c r="F216" s="155"/>
      <c r="G216" s="431"/>
      <c r="J216" s="113"/>
    </row>
    <row r="217" spans="6:10" ht="32.1" customHeight="1">
      <c r="F217" s="155"/>
      <c r="G217" s="431"/>
      <c r="J217" s="113"/>
    </row>
    <row r="218" spans="6:10" ht="32.1" customHeight="1">
      <c r="F218" s="155"/>
      <c r="G218" s="431"/>
      <c r="J218" s="113"/>
    </row>
    <row r="219" spans="6:10" ht="32.1" customHeight="1">
      <c r="F219" s="155"/>
      <c r="G219" s="431"/>
      <c r="J219" s="113"/>
    </row>
    <row r="220" spans="6:10" ht="32.1" customHeight="1">
      <c r="F220" s="155"/>
      <c r="G220" s="431"/>
      <c r="J220" s="113"/>
    </row>
    <row r="221" spans="6:10" ht="32.1" customHeight="1">
      <c r="F221" s="155"/>
      <c r="G221" s="431"/>
      <c r="J221" s="113"/>
    </row>
    <row r="222" spans="6:10" ht="32.1" customHeight="1">
      <c r="F222" s="155"/>
      <c r="G222" s="431"/>
      <c r="J222" s="113"/>
    </row>
    <row r="223" spans="6:10" ht="32.1" customHeight="1">
      <c r="F223" s="155"/>
      <c r="G223" s="431"/>
      <c r="J223" s="113"/>
    </row>
    <row r="224" spans="6:10" ht="32.1" customHeight="1">
      <c r="F224" s="155"/>
      <c r="G224" s="431"/>
      <c r="J224" s="113"/>
    </row>
    <row r="225" spans="6:10" ht="32.1" customHeight="1">
      <c r="F225" s="155"/>
      <c r="G225" s="431"/>
      <c r="J225" s="113"/>
    </row>
    <row r="226" spans="6:10" ht="32.1" customHeight="1">
      <c r="F226" s="155"/>
      <c r="G226" s="431"/>
      <c r="J226" s="113"/>
    </row>
    <row r="227" spans="6:10" ht="32.1" customHeight="1">
      <c r="F227" s="155"/>
      <c r="G227" s="431"/>
      <c r="J227" s="113"/>
    </row>
    <row r="228" spans="6:10" ht="32.1" customHeight="1">
      <c r="F228" s="155"/>
      <c r="G228" s="431"/>
      <c r="J228" s="113"/>
    </row>
    <row r="229" spans="6:10" ht="32.1" customHeight="1">
      <c r="F229" s="155"/>
      <c r="G229" s="431"/>
      <c r="J229" s="113"/>
    </row>
    <row r="230" spans="6:10" ht="32.1" customHeight="1">
      <c r="F230" s="155"/>
      <c r="G230" s="431"/>
      <c r="J230" s="113"/>
    </row>
    <row r="231" spans="6:10" ht="32.1" customHeight="1">
      <c r="F231" s="155"/>
      <c r="G231" s="431"/>
      <c r="J231" s="113"/>
    </row>
    <row r="232" spans="6:10" ht="32.1" customHeight="1">
      <c r="F232" s="155"/>
      <c r="G232" s="431"/>
      <c r="J232" s="113"/>
    </row>
    <row r="233" spans="6:10" ht="32.1" customHeight="1">
      <c r="F233" s="155"/>
      <c r="G233" s="431"/>
      <c r="J233" s="113"/>
    </row>
    <row r="234" spans="6:10" ht="32.1" customHeight="1">
      <c r="F234" s="155"/>
      <c r="G234" s="431"/>
      <c r="J234" s="113"/>
    </row>
    <row r="235" spans="6:10" ht="32.1" customHeight="1">
      <c r="F235" s="155"/>
      <c r="G235" s="431"/>
      <c r="J235" s="113"/>
    </row>
    <row r="236" spans="6:10" ht="32.1" customHeight="1">
      <c r="F236" s="155"/>
      <c r="G236" s="431"/>
      <c r="J236" s="113"/>
    </row>
    <row r="237" spans="6:10" ht="32.1" customHeight="1">
      <c r="F237" s="155"/>
      <c r="G237" s="431"/>
      <c r="J237" s="113"/>
    </row>
    <row r="238" spans="6:10" ht="32.1" customHeight="1">
      <c r="F238" s="155"/>
      <c r="G238" s="431"/>
      <c r="J238" s="113"/>
    </row>
    <row r="239" spans="6:10" ht="32.1" customHeight="1">
      <c r="F239" s="155"/>
      <c r="G239" s="431"/>
      <c r="J239" s="113"/>
    </row>
    <row r="240" spans="6:10" ht="32.1" customHeight="1">
      <c r="F240" s="155"/>
      <c r="G240" s="431"/>
      <c r="J240" s="113"/>
    </row>
    <row r="241" spans="6:10" ht="32.1" customHeight="1">
      <c r="F241" s="155"/>
      <c r="G241" s="431"/>
      <c r="J241" s="113"/>
    </row>
    <row r="242" spans="6:10" ht="32.1" customHeight="1">
      <c r="F242" s="155"/>
      <c r="G242" s="431"/>
      <c r="J242" s="113"/>
    </row>
    <row r="243" spans="6:10" ht="32.1" customHeight="1">
      <c r="F243" s="155"/>
      <c r="G243" s="431"/>
      <c r="J243" s="113"/>
    </row>
    <row r="244" spans="6:10" ht="32.1" customHeight="1">
      <c r="F244" s="155"/>
      <c r="G244" s="431"/>
      <c r="J244" s="113"/>
    </row>
    <row r="245" spans="6:10" ht="32.1" customHeight="1">
      <c r="F245" s="155"/>
      <c r="G245" s="431"/>
      <c r="J245" s="113"/>
    </row>
    <row r="246" spans="6:10" ht="32.1" customHeight="1">
      <c r="F246" s="155"/>
      <c r="G246" s="431"/>
      <c r="J246" s="113"/>
    </row>
    <row r="247" spans="6:10" ht="32.1" customHeight="1">
      <c r="F247" s="155"/>
      <c r="G247" s="431"/>
      <c r="J247" s="113"/>
    </row>
    <row r="248" spans="6:10" ht="32.1" customHeight="1">
      <c r="F248" s="155"/>
      <c r="G248" s="431"/>
      <c r="J248" s="113"/>
    </row>
    <row r="249" spans="6:10" ht="32.1" customHeight="1">
      <c r="F249" s="155"/>
      <c r="G249" s="431"/>
      <c r="J249" s="113"/>
    </row>
    <row r="250" spans="6:10" ht="32.1" customHeight="1">
      <c r="F250" s="155"/>
      <c r="G250" s="431"/>
      <c r="J250" s="113"/>
    </row>
    <row r="251" spans="6:10" ht="32.1" customHeight="1">
      <c r="F251" s="155"/>
      <c r="G251" s="431"/>
      <c r="J251" s="113"/>
    </row>
    <row r="252" spans="6:10" ht="32.1" customHeight="1">
      <c r="F252" s="155"/>
      <c r="G252" s="431"/>
      <c r="J252" s="113"/>
    </row>
    <row r="253" spans="6:10" ht="32.1" customHeight="1">
      <c r="F253" s="155"/>
      <c r="G253" s="431"/>
      <c r="J253" s="113"/>
    </row>
    <row r="254" spans="6:10" ht="32.1" customHeight="1">
      <c r="F254" s="155"/>
      <c r="G254" s="431"/>
      <c r="J254" s="113"/>
    </row>
    <row r="255" spans="6:10" ht="32.1" customHeight="1">
      <c r="F255" s="155"/>
      <c r="G255" s="431"/>
      <c r="J255" s="113"/>
    </row>
    <row r="256" spans="6:10" ht="32.1" customHeight="1">
      <c r="F256" s="155"/>
      <c r="G256" s="431"/>
      <c r="J256" s="113"/>
    </row>
    <row r="257" spans="6:10" ht="32.1" customHeight="1">
      <c r="F257" s="155"/>
      <c r="G257" s="431"/>
      <c r="J257" s="113"/>
    </row>
    <row r="258" spans="6:10" ht="32.1" customHeight="1">
      <c r="F258" s="155"/>
      <c r="G258" s="431"/>
      <c r="J258" s="113"/>
    </row>
    <row r="259" spans="6:10" ht="32.1" customHeight="1">
      <c r="F259" s="155"/>
      <c r="G259" s="431"/>
      <c r="J259" s="113"/>
    </row>
    <row r="260" spans="6:10" ht="32.1" customHeight="1">
      <c r="F260" s="155"/>
      <c r="G260" s="431"/>
      <c r="J260" s="113"/>
    </row>
    <row r="261" spans="6:10" ht="32.1" customHeight="1">
      <c r="F261" s="155"/>
      <c r="G261" s="431"/>
      <c r="J261" s="113"/>
    </row>
    <row r="262" spans="6:10" ht="32.1" customHeight="1">
      <c r="F262" s="155"/>
      <c r="G262" s="431"/>
      <c r="J262" s="113"/>
    </row>
    <row r="263" spans="6:10" ht="32.1" customHeight="1">
      <c r="F263" s="155"/>
      <c r="G263" s="431"/>
      <c r="J263" s="113"/>
    </row>
    <row r="264" spans="6:10" ht="32.1" customHeight="1">
      <c r="F264" s="155"/>
      <c r="G264" s="431"/>
      <c r="J264" s="113"/>
    </row>
    <row r="265" spans="6:10" ht="32.1" customHeight="1">
      <c r="F265" s="155"/>
      <c r="G265" s="431"/>
      <c r="J265" s="113"/>
    </row>
    <row r="266" spans="6:10" ht="32.1" customHeight="1">
      <c r="F266" s="155"/>
      <c r="G266" s="431"/>
      <c r="J266" s="113"/>
    </row>
    <row r="267" spans="6:10" ht="32.1" customHeight="1">
      <c r="F267" s="155"/>
      <c r="G267" s="431"/>
      <c r="J267" s="113"/>
    </row>
    <row r="268" spans="6:10" ht="32.1" customHeight="1">
      <c r="F268" s="155"/>
      <c r="G268" s="431"/>
      <c r="J268" s="113"/>
    </row>
    <row r="269" spans="6:10" ht="32.1" customHeight="1">
      <c r="F269" s="155"/>
      <c r="G269" s="431"/>
      <c r="J269" s="113"/>
    </row>
    <row r="270" spans="6:10" ht="32.1" customHeight="1">
      <c r="F270" s="155"/>
      <c r="G270" s="431"/>
      <c r="J270" s="113"/>
    </row>
    <row r="271" spans="6:10" ht="32.1" customHeight="1">
      <c r="F271" s="155"/>
      <c r="G271" s="431"/>
      <c r="J271" s="113"/>
    </row>
    <row r="272" spans="6:10" ht="32.1" customHeight="1">
      <c r="F272" s="155"/>
      <c r="G272" s="431"/>
      <c r="J272" s="113"/>
    </row>
    <row r="273" spans="6:10" ht="32.1" customHeight="1">
      <c r="F273" s="155"/>
      <c r="G273" s="431"/>
      <c r="J273" s="113"/>
    </row>
    <row r="274" spans="6:10" ht="32.1" customHeight="1">
      <c r="F274" s="155"/>
      <c r="G274" s="431"/>
      <c r="J274" s="113"/>
    </row>
    <row r="275" spans="6:10" ht="32.1" customHeight="1">
      <c r="F275" s="155"/>
      <c r="G275" s="431"/>
      <c r="J275" s="113"/>
    </row>
    <row r="276" spans="6:10" ht="32.1" customHeight="1">
      <c r="F276" s="155"/>
      <c r="G276" s="431"/>
      <c r="J276" s="113"/>
    </row>
    <row r="277" spans="6:10" ht="32.1" customHeight="1">
      <c r="F277" s="155"/>
      <c r="G277" s="431"/>
      <c r="J277" s="113"/>
    </row>
    <row r="278" spans="6:10" ht="32.1" customHeight="1">
      <c r="F278" s="155"/>
      <c r="G278" s="431"/>
      <c r="J278" s="113"/>
    </row>
    <row r="279" spans="6:10" ht="32.1" customHeight="1">
      <c r="F279" s="155"/>
      <c r="G279" s="431"/>
      <c r="J279" s="113"/>
    </row>
    <row r="280" spans="6:10" ht="32.1" customHeight="1">
      <c r="F280" s="155"/>
      <c r="G280" s="431"/>
      <c r="J280" s="113"/>
    </row>
    <row r="281" spans="6:10" ht="32.1" customHeight="1">
      <c r="F281" s="155"/>
      <c r="G281" s="431"/>
      <c r="J281" s="113"/>
    </row>
    <row r="282" spans="6:10" ht="32.1" customHeight="1">
      <c r="F282" s="155"/>
      <c r="G282" s="431"/>
      <c r="J282" s="113"/>
    </row>
    <row r="283" spans="6:10" ht="32.1" customHeight="1">
      <c r="F283" s="155"/>
      <c r="G283" s="431"/>
      <c r="J283" s="113"/>
    </row>
    <row r="284" spans="6:10" ht="32.1" customHeight="1">
      <c r="F284" s="155"/>
      <c r="G284" s="431"/>
      <c r="J284" s="113"/>
    </row>
    <row r="285" spans="6:10" ht="32.1" customHeight="1">
      <c r="F285" s="155"/>
      <c r="G285" s="431"/>
      <c r="J285" s="113"/>
    </row>
    <row r="286" spans="6:10" ht="32.1" customHeight="1">
      <c r="F286" s="155"/>
      <c r="G286" s="431"/>
      <c r="J286" s="113"/>
    </row>
    <row r="287" spans="6:10" ht="32.1" customHeight="1">
      <c r="F287" s="155"/>
      <c r="G287" s="431"/>
      <c r="J287" s="113"/>
    </row>
    <row r="288" spans="6:10" ht="32.1" customHeight="1">
      <c r="F288" s="155"/>
      <c r="G288" s="431"/>
      <c r="J288" s="113"/>
    </row>
    <row r="289" spans="6:10" ht="32.1" customHeight="1">
      <c r="F289" s="155"/>
      <c r="G289" s="431"/>
      <c r="J289" s="113"/>
    </row>
    <row r="290" spans="6:10" ht="32.1" customHeight="1">
      <c r="F290" s="155"/>
      <c r="G290" s="431"/>
      <c r="J290" s="113"/>
    </row>
    <row r="291" spans="6:10" ht="32.1" customHeight="1">
      <c r="F291" s="155"/>
      <c r="G291" s="431"/>
      <c r="J291" s="113"/>
    </row>
    <row r="292" spans="6:10" ht="32.1" customHeight="1">
      <c r="F292" s="155"/>
      <c r="G292" s="431"/>
      <c r="J292" s="113"/>
    </row>
    <row r="293" spans="6:10" ht="32.1" customHeight="1">
      <c r="F293" s="155"/>
      <c r="G293" s="431"/>
      <c r="J293" s="113"/>
    </row>
    <row r="294" spans="6:10" ht="32.1" customHeight="1">
      <c r="F294" s="155"/>
      <c r="G294" s="431"/>
      <c r="J294" s="113"/>
    </row>
    <row r="295" spans="6:10" ht="32.1" customHeight="1">
      <c r="F295" s="155"/>
      <c r="G295" s="431"/>
      <c r="J295" s="113"/>
    </row>
    <row r="296" spans="6:10" ht="32.1" customHeight="1">
      <c r="F296" s="155"/>
      <c r="G296" s="431"/>
      <c r="J296" s="113"/>
    </row>
    <row r="297" spans="6:10" ht="32.1" customHeight="1">
      <c r="F297" s="155"/>
      <c r="G297" s="431"/>
      <c r="J297" s="113"/>
    </row>
    <row r="298" spans="6:10" ht="32.1" customHeight="1">
      <c r="F298" s="155"/>
      <c r="G298" s="431"/>
      <c r="J298" s="113"/>
    </row>
    <row r="299" spans="6:10" ht="32.1" customHeight="1">
      <c r="F299" s="155"/>
      <c r="G299" s="431"/>
      <c r="J299" s="113"/>
    </row>
    <row r="300" spans="6:10" ht="32.1" customHeight="1">
      <c r="F300" s="155"/>
      <c r="G300" s="431"/>
      <c r="J300" s="113"/>
    </row>
    <row r="301" spans="6:10" ht="32.1" customHeight="1">
      <c r="F301" s="155"/>
      <c r="G301" s="431"/>
      <c r="J301" s="113"/>
    </row>
    <row r="302" spans="6:10" ht="32.1" customHeight="1">
      <c r="F302" s="155"/>
      <c r="G302" s="431"/>
      <c r="J302" s="113"/>
    </row>
    <row r="303" spans="6:10" ht="32.1" customHeight="1">
      <c r="F303" s="155"/>
      <c r="G303" s="431"/>
      <c r="J303" s="113"/>
    </row>
    <row r="304" spans="6:10" ht="32.1" customHeight="1">
      <c r="F304" s="155"/>
      <c r="G304" s="431"/>
      <c r="J304" s="113"/>
    </row>
    <row r="305" spans="6:10" ht="32.1" customHeight="1">
      <c r="F305" s="155"/>
      <c r="G305" s="431"/>
      <c r="J305" s="113"/>
    </row>
    <row r="306" spans="6:10" ht="32.1" customHeight="1">
      <c r="F306" s="155"/>
      <c r="G306" s="431"/>
      <c r="J306" s="113"/>
    </row>
    <row r="307" spans="6:10" ht="32.1" customHeight="1">
      <c r="F307" s="155"/>
      <c r="G307" s="431"/>
      <c r="J307" s="113"/>
    </row>
    <row r="308" spans="6:10" ht="32.1" customHeight="1">
      <c r="F308" s="155"/>
      <c r="G308" s="431"/>
      <c r="J308" s="113"/>
    </row>
    <row r="309" spans="6:10" ht="32.1" customHeight="1">
      <c r="F309" s="155"/>
      <c r="G309" s="431"/>
      <c r="J309" s="113"/>
    </row>
    <row r="310" spans="6:10" ht="32.1" customHeight="1">
      <c r="F310" s="155"/>
      <c r="G310" s="431"/>
      <c r="J310" s="113"/>
    </row>
    <row r="311" spans="6:10" ht="32.1" customHeight="1">
      <c r="F311" s="155"/>
      <c r="G311" s="431"/>
      <c r="J311" s="113"/>
    </row>
    <row r="312" spans="6:10" ht="32.1" customHeight="1">
      <c r="F312" s="155"/>
      <c r="G312" s="431"/>
      <c r="J312" s="113"/>
    </row>
    <row r="313" spans="6:10" ht="32.1" customHeight="1">
      <c r="F313" s="155"/>
      <c r="G313" s="431"/>
      <c r="J313" s="113"/>
    </row>
    <row r="314" spans="6:10" ht="32.1" hidden="1" customHeight="1">
      <c r="F314" s="155"/>
      <c r="G314" s="431"/>
      <c r="J314" s="113"/>
    </row>
    <row r="315" spans="6:10" ht="32.1" hidden="1" customHeight="1">
      <c r="F315" s="155"/>
      <c r="G315" s="431"/>
      <c r="J315" s="113"/>
    </row>
    <row r="316" spans="6:10" ht="32.1" hidden="1" customHeight="1">
      <c r="F316" s="155"/>
      <c r="G316" s="431"/>
      <c r="J316" s="113"/>
    </row>
    <row r="317" spans="6:10" ht="32.1" hidden="1" customHeight="1">
      <c r="F317" s="155"/>
      <c r="G317" s="431"/>
      <c r="J317" s="113"/>
    </row>
    <row r="318" spans="6:10" ht="32.1" hidden="1" customHeight="1">
      <c r="F318" s="155"/>
      <c r="G318" s="431"/>
      <c r="J318" s="113"/>
    </row>
    <row r="319" spans="6:10" ht="32.1" hidden="1" customHeight="1">
      <c r="F319" s="155"/>
      <c r="G319" s="431"/>
      <c r="J319" s="113"/>
    </row>
    <row r="320" spans="6:10" ht="32.1" hidden="1" customHeight="1">
      <c r="F320" s="155"/>
      <c r="G320" s="431"/>
      <c r="J320" s="113"/>
    </row>
    <row r="321" spans="6:10" ht="32.1" hidden="1" customHeight="1">
      <c r="F321" s="155"/>
      <c r="G321" s="431"/>
      <c r="J321" s="113"/>
    </row>
    <row r="322" spans="6:10" ht="32.1" hidden="1" customHeight="1">
      <c r="F322" s="155"/>
      <c r="G322" s="431"/>
      <c r="J322" s="113"/>
    </row>
    <row r="323" spans="6:10" ht="32.1" hidden="1" customHeight="1">
      <c r="F323" s="155"/>
      <c r="G323" s="431"/>
      <c r="J323" s="113"/>
    </row>
    <row r="324" spans="6:10" ht="32.1" hidden="1" customHeight="1">
      <c r="F324" s="155"/>
      <c r="G324" s="431"/>
      <c r="J324" s="113"/>
    </row>
    <row r="325" spans="6:10" ht="32.1" hidden="1" customHeight="1">
      <c r="F325" s="155"/>
      <c r="G325" s="431"/>
      <c r="J325" s="113"/>
    </row>
    <row r="326" spans="6:10" ht="32.1" hidden="1" customHeight="1">
      <c r="F326" s="155"/>
      <c r="G326" s="431"/>
      <c r="J326" s="113"/>
    </row>
    <row r="327" spans="6:10" ht="32.1" hidden="1" customHeight="1">
      <c r="F327" s="155"/>
      <c r="G327" s="431"/>
      <c r="J327" s="113"/>
    </row>
    <row r="328" spans="6:10" ht="32.1" hidden="1" customHeight="1">
      <c r="F328" s="155"/>
      <c r="G328" s="431"/>
      <c r="J328" s="113"/>
    </row>
    <row r="329" spans="6:10" ht="32.1" hidden="1" customHeight="1">
      <c r="F329" s="155"/>
      <c r="G329" s="431"/>
      <c r="J329" s="113"/>
    </row>
    <row r="330" spans="6:10" ht="32.1" hidden="1" customHeight="1">
      <c r="F330" s="155"/>
      <c r="G330" s="431"/>
      <c r="J330" s="113"/>
    </row>
    <row r="331" spans="6:10" ht="32.1" hidden="1" customHeight="1">
      <c r="F331" s="155"/>
      <c r="G331" s="431"/>
      <c r="J331" s="113"/>
    </row>
    <row r="332" spans="6:10" ht="32.1" hidden="1" customHeight="1">
      <c r="F332" s="155"/>
      <c r="G332" s="431"/>
      <c r="J332" s="113"/>
    </row>
    <row r="333" spans="6:10" ht="32.1" hidden="1" customHeight="1">
      <c r="F333" s="155"/>
      <c r="G333" s="431"/>
      <c r="J333" s="113"/>
    </row>
    <row r="334" spans="6:10" ht="32.1" hidden="1" customHeight="1">
      <c r="F334" s="155"/>
      <c r="G334" s="431"/>
      <c r="J334" s="113"/>
    </row>
    <row r="335" spans="6:10" ht="32.1" hidden="1" customHeight="1">
      <c r="F335" s="155"/>
      <c r="G335" s="431"/>
      <c r="J335" s="113"/>
    </row>
    <row r="336" spans="6:10" ht="32.1" hidden="1" customHeight="1">
      <c r="F336" s="155"/>
      <c r="G336" s="431"/>
      <c r="J336" s="113"/>
    </row>
    <row r="337" spans="6:10" ht="32.1" hidden="1" customHeight="1">
      <c r="F337" s="155"/>
      <c r="G337" s="431"/>
      <c r="J337" s="113"/>
    </row>
    <row r="338" spans="6:10" ht="32.1" hidden="1" customHeight="1">
      <c r="F338" s="155"/>
      <c r="G338" s="431"/>
      <c r="J338" s="113"/>
    </row>
    <row r="339" spans="6:10" ht="32.1" hidden="1" customHeight="1">
      <c r="F339" s="155"/>
      <c r="G339" s="431"/>
      <c r="J339" s="113"/>
    </row>
    <row r="340" spans="6:10" ht="32.1" hidden="1" customHeight="1">
      <c r="F340" s="155"/>
      <c r="G340" s="431"/>
      <c r="J340" s="113"/>
    </row>
    <row r="341" spans="6:10" ht="32.1" hidden="1" customHeight="1">
      <c r="F341" s="155"/>
      <c r="G341" s="431"/>
      <c r="J341" s="113"/>
    </row>
    <row r="342" spans="6:10" ht="32.1" hidden="1" customHeight="1">
      <c r="F342" s="155"/>
      <c r="G342" s="431"/>
      <c r="J342" s="113"/>
    </row>
    <row r="343" spans="6:10" ht="32.1" hidden="1" customHeight="1">
      <c r="F343" s="155"/>
      <c r="G343" s="431"/>
      <c r="J343" s="113"/>
    </row>
    <row r="344" spans="6:10" ht="32.1" hidden="1" customHeight="1">
      <c r="F344" s="155"/>
      <c r="G344" s="431"/>
      <c r="J344" s="113"/>
    </row>
    <row r="345" spans="6:10" ht="32.1" hidden="1" customHeight="1">
      <c r="F345" s="155"/>
      <c r="G345" s="431"/>
      <c r="J345" s="113"/>
    </row>
    <row r="346" spans="6:10" ht="32.1" hidden="1" customHeight="1">
      <c r="F346" s="155"/>
      <c r="G346" s="431"/>
      <c r="J346" s="113"/>
    </row>
    <row r="347" spans="6:10" ht="32.1" hidden="1" customHeight="1">
      <c r="F347" s="155"/>
      <c r="G347" s="431"/>
      <c r="J347" s="113"/>
    </row>
    <row r="348" spans="6:10" ht="32.1" hidden="1" customHeight="1">
      <c r="F348" s="155"/>
      <c r="G348" s="431"/>
      <c r="J348" s="113"/>
    </row>
    <row r="349" spans="6:10" ht="32.1" hidden="1" customHeight="1">
      <c r="F349" s="155"/>
      <c r="G349" s="431"/>
      <c r="J349" s="113"/>
    </row>
    <row r="350" spans="6:10" ht="32.1" hidden="1" customHeight="1">
      <c r="F350" s="155"/>
      <c r="G350" s="431"/>
      <c r="J350" s="113"/>
    </row>
    <row r="351" spans="6:10" ht="32.1" hidden="1" customHeight="1">
      <c r="F351" s="155"/>
      <c r="G351" s="431"/>
      <c r="J351" s="113"/>
    </row>
    <row r="352" spans="6:10" ht="32.1" hidden="1" customHeight="1">
      <c r="F352" s="155"/>
      <c r="G352" s="431"/>
      <c r="J352" s="113"/>
    </row>
    <row r="353" spans="6:10" ht="32.1" hidden="1" customHeight="1">
      <c r="F353" s="155"/>
      <c r="G353" s="431"/>
      <c r="J353" s="113"/>
    </row>
    <row r="354" spans="6:10" ht="32.1" hidden="1" customHeight="1">
      <c r="F354" s="155"/>
      <c r="G354" s="431"/>
      <c r="J354" s="113"/>
    </row>
    <row r="355" spans="6:10" ht="32.1" hidden="1" customHeight="1">
      <c r="F355" s="155"/>
      <c r="G355" s="431"/>
      <c r="J355" s="113"/>
    </row>
    <row r="356" spans="6:10" ht="32.1" hidden="1" customHeight="1">
      <c r="F356" s="155"/>
      <c r="G356" s="431"/>
      <c r="J356" s="113"/>
    </row>
    <row r="357" spans="6:10" ht="32.1" hidden="1" customHeight="1">
      <c r="F357" s="155"/>
      <c r="G357" s="431"/>
      <c r="J357" s="113"/>
    </row>
    <row r="358" spans="6:10" ht="32.1" hidden="1" customHeight="1">
      <c r="F358" s="155"/>
      <c r="G358" s="431"/>
      <c r="J358" s="113"/>
    </row>
    <row r="359" spans="6:10" ht="32.1" hidden="1" customHeight="1">
      <c r="F359" s="155"/>
      <c r="G359" s="431"/>
      <c r="J359" s="113"/>
    </row>
    <row r="360" spans="6:10" ht="32.1" hidden="1" customHeight="1">
      <c r="F360" s="155"/>
      <c r="G360" s="431"/>
      <c r="J360" s="113"/>
    </row>
    <row r="361" spans="6:10" ht="32.1" hidden="1" customHeight="1">
      <c r="F361" s="155"/>
      <c r="G361" s="431"/>
      <c r="J361" s="113"/>
    </row>
    <row r="362" spans="6:10" ht="32.1" hidden="1" customHeight="1">
      <c r="F362" s="155"/>
      <c r="G362" s="431"/>
      <c r="J362" s="113"/>
    </row>
    <row r="363" spans="6:10" ht="32.1" hidden="1" customHeight="1">
      <c r="F363" s="155"/>
      <c r="G363" s="431"/>
      <c r="J363" s="113"/>
    </row>
    <row r="364" spans="6:10" ht="32.1" hidden="1" customHeight="1">
      <c r="F364" s="155"/>
      <c r="G364" s="431"/>
      <c r="J364" s="113"/>
    </row>
    <row r="365" spans="6:10" ht="32.1" hidden="1" customHeight="1">
      <c r="F365" s="155"/>
      <c r="G365" s="431"/>
      <c r="J365" s="113"/>
    </row>
    <row r="366" spans="6:10" ht="32.1" hidden="1" customHeight="1">
      <c r="F366" s="155"/>
      <c r="G366" s="431"/>
      <c r="J366" s="113"/>
    </row>
    <row r="367" spans="6:10" ht="32.1" hidden="1" customHeight="1">
      <c r="F367" s="155"/>
      <c r="G367" s="431"/>
      <c r="J367" s="113"/>
    </row>
    <row r="368" spans="6:10" ht="32.1" hidden="1" customHeight="1">
      <c r="F368" s="155"/>
      <c r="G368" s="431"/>
      <c r="J368" s="113"/>
    </row>
    <row r="369" spans="6:10" ht="32.1" hidden="1" customHeight="1">
      <c r="F369" s="155"/>
      <c r="G369" s="431"/>
      <c r="J369" s="113"/>
    </row>
    <row r="370" spans="6:10" ht="32.1" hidden="1" customHeight="1">
      <c r="F370" s="155"/>
      <c r="G370" s="431"/>
      <c r="J370" s="113"/>
    </row>
    <row r="371" spans="6:10" ht="32.1" hidden="1" customHeight="1">
      <c r="F371" s="155"/>
      <c r="G371" s="431"/>
      <c r="J371" s="113"/>
    </row>
    <row r="372" spans="6:10" ht="32.1" hidden="1" customHeight="1">
      <c r="F372" s="155"/>
      <c r="G372" s="431"/>
      <c r="J372" s="113"/>
    </row>
    <row r="373" spans="6:10" ht="32.1" hidden="1" customHeight="1">
      <c r="F373" s="155"/>
      <c r="G373" s="431"/>
      <c r="J373" s="113"/>
    </row>
    <row r="374" spans="6:10" ht="32.1" hidden="1" customHeight="1">
      <c r="F374" s="155"/>
      <c r="G374" s="431"/>
      <c r="J374" s="113"/>
    </row>
    <row r="375" spans="6:10" ht="32.1" hidden="1" customHeight="1">
      <c r="F375" s="155"/>
      <c r="G375" s="431"/>
      <c r="J375" s="113"/>
    </row>
    <row r="376" spans="6:10" ht="32.1" hidden="1" customHeight="1">
      <c r="F376" s="155"/>
      <c r="G376" s="431"/>
      <c r="J376" s="113"/>
    </row>
    <row r="377" spans="6:10" ht="32.1" hidden="1" customHeight="1">
      <c r="F377" s="155"/>
      <c r="G377" s="431"/>
      <c r="J377" s="113"/>
    </row>
    <row r="378" spans="6:10" ht="32.1" hidden="1" customHeight="1">
      <c r="F378" s="155"/>
      <c r="G378" s="431"/>
      <c r="J378" s="113"/>
    </row>
    <row r="379" spans="6:10" ht="32.1" hidden="1" customHeight="1">
      <c r="F379" s="155"/>
      <c r="G379" s="431"/>
      <c r="J379" s="113"/>
    </row>
    <row r="380" spans="6:10" ht="32.1" hidden="1" customHeight="1">
      <c r="F380" s="155"/>
      <c r="G380" s="431"/>
      <c r="J380" s="113"/>
    </row>
    <row r="381" spans="6:10" ht="32.1" hidden="1" customHeight="1">
      <c r="F381" s="155"/>
      <c r="G381" s="431"/>
      <c r="J381" s="113"/>
    </row>
    <row r="382" spans="6:10" ht="32.1" hidden="1" customHeight="1">
      <c r="F382" s="155"/>
      <c r="G382" s="431"/>
      <c r="J382" s="113"/>
    </row>
    <row r="383" spans="6:10" ht="32.1" hidden="1" customHeight="1">
      <c r="F383" s="155"/>
      <c r="G383" s="431"/>
      <c r="J383" s="113"/>
    </row>
    <row r="384" spans="6:10" ht="32.1" hidden="1" customHeight="1">
      <c r="F384" s="155"/>
      <c r="G384" s="431"/>
      <c r="J384" s="113"/>
    </row>
    <row r="385" spans="6:10" ht="32.1" hidden="1" customHeight="1">
      <c r="F385" s="155"/>
      <c r="G385" s="431"/>
      <c r="J385" s="113"/>
    </row>
    <row r="386" spans="6:10" ht="32.1" hidden="1" customHeight="1">
      <c r="F386" s="155"/>
      <c r="G386" s="431"/>
      <c r="J386" s="113"/>
    </row>
    <row r="387" spans="6:10" ht="32.1" hidden="1" customHeight="1">
      <c r="F387" s="155"/>
      <c r="G387" s="431"/>
      <c r="J387" s="113"/>
    </row>
    <row r="388" spans="6:10" ht="32.1" hidden="1" customHeight="1">
      <c r="F388" s="155"/>
      <c r="G388" s="431"/>
      <c r="J388" s="113"/>
    </row>
    <row r="389" spans="6:10" ht="32.1" hidden="1" customHeight="1">
      <c r="F389" s="155"/>
      <c r="G389" s="431"/>
      <c r="J389" s="113"/>
    </row>
    <row r="390" spans="6:10" ht="32.1" hidden="1" customHeight="1">
      <c r="F390" s="155"/>
      <c r="G390" s="431"/>
      <c r="J390" s="113"/>
    </row>
    <row r="391" spans="6:10" ht="32.1" hidden="1" customHeight="1">
      <c r="F391" s="155"/>
      <c r="G391" s="431"/>
      <c r="J391" s="113"/>
    </row>
    <row r="392" spans="6:10" ht="32.1" hidden="1" customHeight="1">
      <c r="F392" s="155"/>
      <c r="G392" s="431"/>
      <c r="J392" s="113"/>
    </row>
    <row r="393" spans="6:10" ht="32.1" hidden="1" customHeight="1">
      <c r="F393" s="155"/>
      <c r="G393" s="431"/>
      <c r="J393" s="113"/>
    </row>
    <row r="394" spans="6:10" ht="32.1" hidden="1" customHeight="1">
      <c r="F394" s="155"/>
      <c r="G394" s="431"/>
      <c r="J394" s="113"/>
    </row>
    <row r="395" spans="6:10" ht="32.1" hidden="1" customHeight="1">
      <c r="F395" s="155"/>
      <c r="G395" s="431"/>
      <c r="J395" s="113"/>
    </row>
    <row r="396" spans="6:10" ht="32.1" hidden="1" customHeight="1">
      <c r="F396" s="155"/>
      <c r="G396" s="431"/>
      <c r="J396" s="113"/>
    </row>
    <row r="397" spans="6:10" ht="32.1" hidden="1" customHeight="1">
      <c r="F397" s="155"/>
      <c r="G397" s="431"/>
      <c r="J397" s="113"/>
    </row>
    <row r="398" spans="6:10" ht="32.1" hidden="1" customHeight="1">
      <c r="F398" s="155"/>
      <c r="G398" s="431"/>
      <c r="J398" s="113"/>
    </row>
    <row r="399" spans="6:10" ht="32.1" hidden="1" customHeight="1">
      <c r="F399" s="155"/>
      <c r="G399" s="431"/>
      <c r="J399" s="113"/>
    </row>
    <row r="400" spans="6:10" ht="32.1" hidden="1" customHeight="1">
      <c r="F400" s="155"/>
      <c r="G400" s="431"/>
      <c r="J400" s="113"/>
    </row>
    <row r="401" spans="6:10" ht="32.1" hidden="1" customHeight="1">
      <c r="F401" s="155"/>
      <c r="G401" s="431"/>
      <c r="J401" s="113"/>
    </row>
    <row r="402" spans="6:10" ht="32.1" hidden="1" customHeight="1">
      <c r="F402" s="155"/>
      <c r="G402" s="431"/>
      <c r="J402" s="113"/>
    </row>
    <row r="403" spans="6:10" ht="32.1" hidden="1" customHeight="1">
      <c r="F403" s="155"/>
      <c r="G403" s="431"/>
      <c r="J403" s="113"/>
    </row>
    <row r="404" spans="6:10" ht="32.1" hidden="1" customHeight="1">
      <c r="F404" s="155"/>
      <c r="G404" s="431"/>
      <c r="J404" s="113"/>
    </row>
    <row r="405" spans="6:10" ht="32.1" hidden="1" customHeight="1">
      <c r="F405" s="155"/>
      <c r="G405" s="431"/>
      <c r="J405" s="113"/>
    </row>
    <row r="406" spans="6:10" ht="32.1" hidden="1" customHeight="1">
      <c r="F406" s="155"/>
      <c r="G406" s="431"/>
      <c r="J406" s="113"/>
    </row>
    <row r="407" spans="6:10" ht="32.1" hidden="1" customHeight="1">
      <c r="F407" s="155"/>
      <c r="G407" s="431"/>
      <c r="J407" s="113"/>
    </row>
    <row r="408" spans="6:10" ht="32.1" hidden="1" customHeight="1">
      <c r="F408" s="155"/>
      <c r="G408" s="431"/>
      <c r="J408" s="113"/>
    </row>
    <row r="409" spans="6:10" ht="32.1" hidden="1" customHeight="1">
      <c r="F409" s="155"/>
      <c r="G409" s="431"/>
      <c r="J409" s="113"/>
    </row>
    <row r="410" spans="6:10" ht="32.1" hidden="1" customHeight="1">
      <c r="F410" s="155"/>
      <c r="G410" s="431"/>
      <c r="J410" s="113"/>
    </row>
    <row r="411" spans="6:10" ht="32.1" hidden="1" customHeight="1">
      <c r="F411" s="155"/>
      <c r="G411" s="431"/>
      <c r="J411" s="113"/>
    </row>
    <row r="412" spans="6:10" ht="32.1" hidden="1" customHeight="1">
      <c r="F412" s="155"/>
      <c r="G412" s="431"/>
      <c r="J412" s="113"/>
    </row>
    <row r="413" spans="6:10" ht="32.1" hidden="1" customHeight="1">
      <c r="F413" s="155"/>
      <c r="G413" s="431"/>
      <c r="J413" s="113"/>
    </row>
    <row r="414" spans="6:10" ht="32.1" hidden="1" customHeight="1">
      <c r="F414" s="155"/>
      <c r="G414" s="431"/>
      <c r="J414" s="113"/>
    </row>
    <row r="415" spans="6:10" ht="32.1" hidden="1" customHeight="1">
      <c r="F415" s="155"/>
      <c r="G415" s="431"/>
      <c r="J415" s="113"/>
    </row>
    <row r="416" spans="6:10" ht="32.1" hidden="1" customHeight="1">
      <c r="F416" s="155"/>
      <c r="G416" s="431"/>
      <c r="J416" s="113"/>
    </row>
    <row r="417" spans="6:10" ht="32.1" hidden="1" customHeight="1">
      <c r="F417" s="155"/>
      <c r="G417" s="431"/>
      <c r="J417" s="113"/>
    </row>
    <row r="418" spans="6:10" ht="32.1" hidden="1" customHeight="1">
      <c r="F418" s="155"/>
      <c r="G418" s="431"/>
      <c r="J418" s="113"/>
    </row>
    <row r="419" spans="6:10" ht="32.1" hidden="1" customHeight="1">
      <c r="F419" s="155"/>
      <c r="G419" s="431"/>
      <c r="J419" s="113"/>
    </row>
    <row r="420" spans="6:10" ht="32.1" hidden="1" customHeight="1">
      <c r="F420" s="155"/>
      <c r="G420" s="431"/>
      <c r="J420" s="113"/>
    </row>
    <row r="421" spans="6:10" ht="32.1" hidden="1" customHeight="1">
      <c r="F421" s="155"/>
      <c r="G421" s="431"/>
      <c r="J421" s="113"/>
    </row>
    <row r="422" spans="6:10" ht="32.1" hidden="1" customHeight="1">
      <c r="F422" s="155"/>
      <c r="G422" s="431"/>
      <c r="J422" s="113"/>
    </row>
    <row r="423" spans="6:10" ht="32.1" hidden="1" customHeight="1">
      <c r="F423" s="155"/>
      <c r="G423" s="431"/>
      <c r="J423" s="113"/>
    </row>
    <row r="424" spans="6:10" ht="32.1" hidden="1" customHeight="1">
      <c r="F424" s="155"/>
      <c r="G424" s="431"/>
      <c r="J424" s="113"/>
    </row>
    <row r="425" spans="6:10" ht="32.1" hidden="1" customHeight="1">
      <c r="F425" s="155"/>
      <c r="G425" s="431"/>
      <c r="J425" s="113"/>
    </row>
    <row r="426" spans="6:10" ht="32.1" hidden="1" customHeight="1">
      <c r="F426" s="155"/>
      <c r="G426" s="431"/>
      <c r="J426" s="113"/>
    </row>
    <row r="427" spans="6:10" ht="32.1" hidden="1" customHeight="1">
      <c r="F427" s="155"/>
      <c r="G427" s="431"/>
      <c r="J427" s="113"/>
    </row>
    <row r="428" spans="6:10" ht="32.1" hidden="1" customHeight="1">
      <c r="F428" s="155"/>
      <c r="G428" s="431"/>
      <c r="J428" s="113"/>
    </row>
    <row r="429" spans="6:10" ht="32.1" hidden="1" customHeight="1">
      <c r="F429" s="155"/>
      <c r="G429" s="431"/>
      <c r="J429" s="113"/>
    </row>
    <row r="430" spans="6:10" ht="32.1" hidden="1" customHeight="1">
      <c r="F430" s="155"/>
      <c r="G430" s="431"/>
      <c r="J430" s="113"/>
    </row>
    <row r="431" spans="6:10" ht="32.1" hidden="1" customHeight="1">
      <c r="F431" s="155"/>
      <c r="G431" s="431"/>
      <c r="J431" s="113"/>
    </row>
    <row r="432" spans="6:10" ht="32.1" hidden="1" customHeight="1">
      <c r="F432" s="155"/>
      <c r="G432" s="431"/>
      <c r="J432" s="113"/>
    </row>
    <row r="433" spans="6:10" ht="32.1" hidden="1" customHeight="1">
      <c r="F433" s="155"/>
      <c r="G433" s="431"/>
      <c r="J433" s="113"/>
    </row>
    <row r="434" spans="6:10" ht="32.1" hidden="1" customHeight="1">
      <c r="F434" s="155"/>
      <c r="G434" s="431"/>
      <c r="J434" s="113"/>
    </row>
    <row r="435" spans="6:10" ht="32.1" hidden="1" customHeight="1">
      <c r="F435" s="155"/>
      <c r="G435" s="431"/>
      <c r="J435" s="113"/>
    </row>
    <row r="436" spans="6:10" ht="32.1" hidden="1" customHeight="1">
      <c r="F436" s="155"/>
      <c r="G436" s="431"/>
      <c r="J436" s="113"/>
    </row>
    <row r="437" spans="6:10" ht="32.1" hidden="1" customHeight="1">
      <c r="F437" s="155"/>
      <c r="G437" s="431"/>
      <c r="J437" s="113"/>
    </row>
    <row r="438" spans="6:10" ht="32.1" hidden="1" customHeight="1">
      <c r="F438" s="155"/>
      <c r="G438" s="431"/>
      <c r="J438" s="113"/>
    </row>
    <row r="439" spans="6:10" ht="32.1" hidden="1" customHeight="1">
      <c r="F439" s="155"/>
      <c r="G439" s="431"/>
      <c r="J439" s="113"/>
    </row>
    <row r="440" spans="6:10" ht="32.1" hidden="1" customHeight="1">
      <c r="F440" s="155"/>
      <c r="G440" s="431"/>
      <c r="J440" s="113"/>
    </row>
    <row r="441" spans="6:10" ht="32.1" hidden="1" customHeight="1">
      <c r="F441" s="155"/>
      <c r="G441" s="431"/>
      <c r="J441" s="113"/>
    </row>
    <row r="442" spans="6:10" ht="32.1" hidden="1" customHeight="1">
      <c r="F442" s="155"/>
      <c r="G442" s="431"/>
      <c r="J442" s="113"/>
    </row>
    <row r="443" spans="6:10" ht="32.1" hidden="1" customHeight="1">
      <c r="F443" s="155"/>
      <c r="G443" s="431"/>
      <c r="J443" s="113"/>
    </row>
    <row r="444" spans="6:10" ht="32.1" hidden="1" customHeight="1">
      <c r="F444" s="155"/>
      <c r="G444" s="431"/>
      <c r="J444" s="113"/>
    </row>
    <row r="445" spans="6:10" ht="32.1" hidden="1" customHeight="1">
      <c r="F445" s="155"/>
      <c r="G445" s="431"/>
      <c r="J445" s="113"/>
    </row>
    <row r="446" spans="6:10" ht="32.1" hidden="1" customHeight="1">
      <c r="F446" s="155"/>
      <c r="G446" s="431"/>
      <c r="J446" s="113"/>
    </row>
    <row r="447" spans="6:10" ht="32.1" hidden="1" customHeight="1">
      <c r="F447" s="155"/>
      <c r="G447" s="431"/>
      <c r="J447" s="113"/>
    </row>
    <row r="448" spans="6:10" ht="32.1" hidden="1" customHeight="1">
      <c r="F448" s="155"/>
      <c r="G448" s="431"/>
      <c r="J448" s="113"/>
    </row>
    <row r="449" spans="6:10" ht="32.1" hidden="1" customHeight="1">
      <c r="F449" s="155"/>
      <c r="G449" s="431"/>
      <c r="J449" s="113"/>
    </row>
    <row r="450" spans="6:10" ht="32.1" hidden="1" customHeight="1">
      <c r="F450" s="155"/>
      <c r="G450" s="431"/>
      <c r="J450" s="113"/>
    </row>
    <row r="451" spans="6:10" ht="32.1" hidden="1" customHeight="1">
      <c r="F451" s="155"/>
      <c r="G451" s="431"/>
      <c r="J451" s="113"/>
    </row>
    <row r="452" spans="6:10" ht="32.1" hidden="1" customHeight="1">
      <c r="F452" s="155"/>
      <c r="G452" s="431"/>
      <c r="J452" s="113"/>
    </row>
    <row r="453" spans="6:10" ht="32.1" hidden="1" customHeight="1">
      <c r="F453" s="155"/>
      <c r="G453" s="431"/>
      <c r="J453" s="113"/>
    </row>
    <row r="454" spans="6:10" ht="32.1" hidden="1" customHeight="1">
      <c r="F454" s="155"/>
      <c r="G454" s="431"/>
      <c r="J454" s="113"/>
    </row>
    <row r="455" spans="6:10" ht="32.1" hidden="1" customHeight="1">
      <c r="F455" s="155"/>
      <c r="G455" s="431"/>
      <c r="J455" s="113"/>
    </row>
    <row r="456" spans="6:10" ht="32.1" hidden="1" customHeight="1">
      <c r="F456" s="155"/>
      <c r="G456" s="431"/>
      <c r="J456" s="113"/>
    </row>
    <row r="457" spans="6:10" ht="32.1" hidden="1" customHeight="1">
      <c r="F457" s="155"/>
      <c r="G457" s="431"/>
      <c r="J457" s="113"/>
    </row>
    <row r="458" spans="6:10" ht="32.1" hidden="1" customHeight="1">
      <c r="F458" s="155"/>
      <c r="G458" s="431"/>
      <c r="J458" s="113"/>
    </row>
    <row r="459" spans="6:10" ht="32.1" hidden="1" customHeight="1">
      <c r="F459" s="155"/>
      <c r="G459" s="431"/>
      <c r="J459" s="113"/>
    </row>
    <row r="460" spans="6:10" ht="32.1" hidden="1" customHeight="1">
      <c r="F460" s="155"/>
      <c r="G460" s="431"/>
      <c r="J460" s="113"/>
    </row>
    <row r="461" spans="6:10" ht="32.1" hidden="1" customHeight="1">
      <c r="F461" s="155"/>
      <c r="G461" s="431"/>
      <c r="J461" s="113"/>
    </row>
    <row r="462" spans="6:10" ht="32.1" hidden="1" customHeight="1">
      <c r="F462" s="155"/>
      <c r="G462" s="431"/>
      <c r="J462" s="113"/>
    </row>
    <row r="463" spans="6:10" ht="32.1" hidden="1" customHeight="1">
      <c r="F463" s="155"/>
      <c r="G463" s="431"/>
      <c r="J463" s="113"/>
    </row>
    <row r="464" spans="6:10" ht="32.1" hidden="1" customHeight="1">
      <c r="F464" s="155"/>
      <c r="G464" s="431"/>
      <c r="J464" s="113"/>
    </row>
    <row r="465" spans="6:10" ht="32.1" hidden="1" customHeight="1">
      <c r="F465" s="155"/>
      <c r="G465" s="431"/>
      <c r="J465" s="113"/>
    </row>
    <row r="466" spans="6:10" ht="32.1" hidden="1" customHeight="1">
      <c r="F466" s="155"/>
      <c r="G466" s="431"/>
      <c r="J466" s="113"/>
    </row>
    <row r="467" spans="6:10" ht="32.1" hidden="1" customHeight="1">
      <c r="F467" s="155"/>
      <c r="G467" s="431"/>
      <c r="J467" s="113"/>
    </row>
    <row r="468" spans="6:10" ht="32.1" hidden="1" customHeight="1">
      <c r="F468" s="155"/>
      <c r="G468" s="431"/>
      <c r="J468" s="113"/>
    </row>
    <row r="469" spans="6:10" ht="32.1" hidden="1" customHeight="1">
      <c r="F469" s="155"/>
      <c r="G469" s="431"/>
      <c r="J469" s="113"/>
    </row>
    <row r="470" spans="6:10" ht="32.1" hidden="1" customHeight="1">
      <c r="F470" s="155"/>
      <c r="G470" s="431"/>
      <c r="J470" s="113"/>
    </row>
    <row r="471" spans="6:10" ht="32.1" hidden="1" customHeight="1">
      <c r="F471" s="155"/>
      <c r="G471" s="431"/>
      <c r="J471" s="113"/>
    </row>
    <row r="472" spans="6:10" ht="32.1" hidden="1" customHeight="1">
      <c r="F472" s="155"/>
      <c r="G472" s="431"/>
      <c r="J472" s="113"/>
    </row>
    <row r="473" spans="6:10" ht="32.1" hidden="1" customHeight="1">
      <c r="F473" s="155"/>
      <c r="G473" s="431"/>
      <c r="J473" s="113"/>
    </row>
    <row r="474" spans="6:10" ht="32.1" hidden="1" customHeight="1">
      <c r="F474" s="155"/>
      <c r="G474" s="431"/>
      <c r="J474" s="113"/>
    </row>
    <row r="475" spans="6:10" ht="32.1" hidden="1" customHeight="1">
      <c r="F475" s="155"/>
      <c r="G475" s="431"/>
      <c r="J475" s="113"/>
    </row>
    <row r="476" spans="6:10" ht="32.1" hidden="1" customHeight="1">
      <c r="F476" s="155"/>
      <c r="G476" s="431"/>
      <c r="J476" s="113"/>
    </row>
    <row r="477" spans="6:10" ht="32.1" hidden="1" customHeight="1">
      <c r="F477" s="155"/>
      <c r="G477" s="431"/>
      <c r="J477" s="113"/>
    </row>
    <row r="478" spans="6:10" ht="32.1" hidden="1" customHeight="1">
      <c r="F478" s="155"/>
      <c r="G478" s="431"/>
      <c r="J478" s="113"/>
    </row>
    <row r="479" spans="6:10" ht="32.1" hidden="1" customHeight="1">
      <c r="F479" s="155"/>
      <c r="G479" s="431"/>
      <c r="J479" s="113"/>
    </row>
    <row r="480" spans="6:10" ht="32.1" hidden="1" customHeight="1">
      <c r="F480" s="155"/>
      <c r="G480" s="431"/>
      <c r="J480" s="113"/>
    </row>
    <row r="481" spans="6:10" ht="32.1" hidden="1" customHeight="1">
      <c r="F481" s="155"/>
      <c r="G481" s="431"/>
      <c r="J481" s="113"/>
    </row>
    <row r="482" spans="6:10" ht="32.1" hidden="1" customHeight="1">
      <c r="F482" s="155"/>
      <c r="G482" s="431"/>
      <c r="J482" s="113"/>
    </row>
    <row r="483" spans="6:10" ht="32.1" hidden="1" customHeight="1">
      <c r="F483" s="155"/>
      <c r="G483" s="431"/>
      <c r="J483" s="113"/>
    </row>
    <row r="484" spans="6:10" ht="32.1" hidden="1" customHeight="1">
      <c r="F484" s="155"/>
      <c r="G484" s="431"/>
      <c r="J484" s="113"/>
    </row>
    <row r="485" spans="6:10" ht="32.1" hidden="1" customHeight="1">
      <c r="F485" s="155"/>
      <c r="G485" s="431"/>
      <c r="J485" s="113"/>
    </row>
    <row r="486" spans="6:10" ht="32.1" hidden="1" customHeight="1">
      <c r="F486" s="155"/>
      <c r="G486" s="431"/>
      <c r="J486" s="113"/>
    </row>
    <row r="487" spans="6:10" ht="32.1" hidden="1" customHeight="1">
      <c r="F487" s="155"/>
      <c r="G487" s="431"/>
      <c r="J487" s="113"/>
    </row>
    <row r="488" spans="6:10" ht="32.1" hidden="1" customHeight="1">
      <c r="F488" s="155"/>
      <c r="G488" s="431"/>
      <c r="J488" s="113"/>
    </row>
    <row r="489" spans="6:10" ht="32.1" hidden="1" customHeight="1">
      <c r="F489" s="155"/>
      <c r="G489" s="431"/>
      <c r="J489" s="113"/>
    </row>
    <row r="490" spans="6:10" ht="32.1" hidden="1" customHeight="1">
      <c r="F490" s="155"/>
      <c r="G490" s="431"/>
      <c r="J490" s="113"/>
    </row>
    <row r="491" spans="6:10" ht="32.1" hidden="1" customHeight="1">
      <c r="F491" s="155"/>
      <c r="G491" s="431"/>
      <c r="J491" s="113"/>
    </row>
    <row r="492" spans="6:10" ht="32.1" hidden="1" customHeight="1">
      <c r="F492" s="155"/>
      <c r="G492" s="431"/>
      <c r="J492" s="113"/>
    </row>
    <row r="493" spans="6:10" ht="32.1" hidden="1" customHeight="1">
      <c r="F493" s="155"/>
      <c r="G493" s="431"/>
      <c r="J493" s="113"/>
    </row>
    <row r="494" spans="6:10" ht="32.1" hidden="1" customHeight="1">
      <c r="F494" s="155"/>
      <c r="G494" s="431"/>
      <c r="J494" s="113"/>
    </row>
    <row r="495" spans="6:10" ht="32.1" hidden="1" customHeight="1">
      <c r="F495" s="155"/>
      <c r="G495" s="431"/>
      <c r="J495" s="113"/>
    </row>
    <row r="496" spans="6:10" ht="32.1" hidden="1" customHeight="1">
      <c r="F496" s="155"/>
      <c r="G496" s="431"/>
      <c r="J496" s="113"/>
    </row>
    <row r="497" spans="6:10" ht="32.1" hidden="1" customHeight="1">
      <c r="F497" s="155"/>
      <c r="G497" s="431"/>
      <c r="J497" s="113"/>
    </row>
    <row r="498" spans="6:10" ht="32.1" hidden="1" customHeight="1">
      <c r="F498" s="155"/>
      <c r="G498" s="431"/>
      <c r="J498" s="113"/>
    </row>
    <row r="499" spans="6:10" ht="32.1" hidden="1" customHeight="1">
      <c r="F499" s="155"/>
      <c r="G499" s="431"/>
      <c r="J499" s="113"/>
    </row>
    <row r="500" spans="6:10" ht="32.1" hidden="1" customHeight="1">
      <c r="F500" s="155"/>
      <c r="G500" s="431"/>
      <c r="J500" s="113"/>
    </row>
    <row r="501" spans="6:10" ht="32.1" hidden="1" customHeight="1">
      <c r="F501" s="155"/>
      <c r="G501" s="431"/>
      <c r="J501" s="113"/>
    </row>
    <row r="502" spans="6:10" ht="32.1" hidden="1" customHeight="1">
      <c r="F502" s="155"/>
      <c r="G502" s="431"/>
      <c r="J502" s="113"/>
    </row>
    <row r="503" spans="6:10" ht="32.1" hidden="1" customHeight="1">
      <c r="F503" s="155"/>
      <c r="G503" s="431"/>
      <c r="J503" s="113"/>
    </row>
    <row r="504" spans="6:10" ht="32.1" hidden="1" customHeight="1">
      <c r="F504" s="155"/>
      <c r="G504" s="431"/>
      <c r="J504" s="113"/>
    </row>
    <row r="505" spans="6:10" ht="32.1" hidden="1" customHeight="1">
      <c r="F505" s="155"/>
      <c r="G505" s="431"/>
      <c r="J505" s="113"/>
    </row>
    <row r="506" spans="6:10" ht="32.1" hidden="1" customHeight="1">
      <c r="F506" s="155"/>
      <c r="G506" s="431"/>
      <c r="J506" s="113"/>
    </row>
    <row r="507" spans="6:10" ht="32.1" hidden="1" customHeight="1">
      <c r="F507" s="155"/>
      <c r="G507" s="431"/>
      <c r="J507" s="113"/>
    </row>
    <row r="508" spans="6:10" ht="32.1" hidden="1" customHeight="1">
      <c r="F508" s="155"/>
      <c r="G508" s="431"/>
      <c r="J508" s="113"/>
    </row>
    <row r="509" spans="6:10" ht="32.1" hidden="1" customHeight="1">
      <c r="F509" s="155"/>
      <c r="G509" s="431"/>
      <c r="J509" s="113"/>
    </row>
    <row r="510" spans="6:10" ht="32.1" hidden="1" customHeight="1">
      <c r="F510" s="155"/>
      <c r="G510" s="431"/>
      <c r="J510" s="113"/>
    </row>
    <row r="511" spans="6:10" ht="32.1" hidden="1" customHeight="1">
      <c r="F511" s="155"/>
      <c r="G511" s="431"/>
      <c r="J511" s="113"/>
    </row>
    <row r="512" spans="6:10" ht="32.1" hidden="1" customHeight="1">
      <c r="F512" s="155"/>
      <c r="G512" s="431"/>
      <c r="J512" s="113"/>
    </row>
    <row r="513" spans="6:10" ht="32.1" hidden="1" customHeight="1">
      <c r="F513" s="155"/>
      <c r="G513" s="431"/>
      <c r="J513" s="113"/>
    </row>
    <row r="514" spans="6:10" ht="32.1" hidden="1" customHeight="1">
      <c r="F514" s="155"/>
      <c r="G514" s="431"/>
      <c r="J514" s="113"/>
    </row>
    <row r="515" spans="6:10" ht="32.1" hidden="1" customHeight="1">
      <c r="F515" s="155"/>
      <c r="G515" s="431"/>
      <c r="J515" s="113"/>
    </row>
    <row r="516" spans="6:10" ht="32.1" hidden="1" customHeight="1">
      <c r="F516" s="155"/>
      <c r="G516" s="431"/>
      <c r="J516" s="113"/>
    </row>
    <row r="517" spans="6:10" ht="32.1" hidden="1" customHeight="1">
      <c r="F517" s="155"/>
      <c r="G517" s="431"/>
      <c r="J517" s="113"/>
    </row>
    <row r="518" spans="6:10" ht="32.1" hidden="1" customHeight="1">
      <c r="F518" s="155"/>
      <c r="G518" s="431"/>
      <c r="J518" s="113"/>
    </row>
    <row r="519" spans="6:10" ht="32.1" hidden="1" customHeight="1">
      <c r="F519" s="155"/>
      <c r="G519" s="431"/>
      <c r="J519" s="113"/>
    </row>
    <row r="520" spans="6:10" ht="32.1" hidden="1" customHeight="1">
      <c r="F520" s="155"/>
      <c r="G520" s="431"/>
      <c r="J520" s="113"/>
    </row>
    <row r="521" spans="6:10" ht="32.1" hidden="1" customHeight="1">
      <c r="F521" s="155"/>
      <c r="G521" s="431"/>
      <c r="J521" s="113"/>
    </row>
    <row r="522" spans="6:10" ht="32.1" hidden="1" customHeight="1">
      <c r="F522" s="155"/>
      <c r="G522" s="431"/>
      <c r="J522" s="113"/>
    </row>
    <row r="523" spans="6:10" ht="32.1" hidden="1" customHeight="1">
      <c r="F523" s="155"/>
      <c r="G523" s="431"/>
      <c r="J523" s="113"/>
    </row>
    <row r="524" spans="6:10" ht="32.1" hidden="1" customHeight="1">
      <c r="F524" s="155"/>
      <c r="G524" s="431"/>
      <c r="J524" s="113"/>
    </row>
    <row r="525" spans="6:10" ht="32.1" hidden="1" customHeight="1">
      <c r="F525" s="155"/>
      <c r="G525" s="431"/>
      <c r="J525" s="113"/>
    </row>
    <row r="526" spans="6:10" ht="32.1" hidden="1" customHeight="1">
      <c r="F526" s="155"/>
      <c r="G526" s="431"/>
      <c r="J526" s="113"/>
    </row>
    <row r="527" spans="6:10" ht="32.1" hidden="1" customHeight="1">
      <c r="F527" s="155"/>
      <c r="G527" s="431"/>
      <c r="J527" s="113"/>
    </row>
    <row r="528" spans="6:10" ht="32.1" hidden="1" customHeight="1">
      <c r="F528" s="155"/>
      <c r="G528" s="431"/>
      <c r="J528" s="113"/>
    </row>
    <row r="529" spans="6:10" ht="32.1" hidden="1" customHeight="1">
      <c r="F529" s="155"/>
      <c r="G529" s="431"/>
      <c r="J529" s="113"/>
    </row>
    <row r="530" spans="6:10" ht="32.1" hidden="1" customHeight="1">
      <c r="F530" s="155"/>
      <c r="G530" s="431"/>
      <c r="J530" s="113"/>
    </row>
    <row r="531" spans="6:10" ht="32.1" hidden="1" customHeight="1">
      <c r="F531" s="155"/>
      <c r="G531" s="431"/>
      <c r="J531" s="113"/>
    </row>
    <row r="532" spans="6:10" ht="32.1" hidden="1" customHeight="1">
      <c r="F532" s="155"/>
      <c r="G532" s="431"/>
      <c r="J532" s="113"/>
    </row>
    <row r="533" spans="6:10" ht="32.1" hidden="1" customHeight="1">
      <c r="F533" s="155"/>
      <c r="G533" s="431"/>
      <c r="J533" s="113"/>
    </row>
    <row r="534" spans="6:10" ht="32.1" hidden="1" customHeight="1">
      <c r="F534" s="155"/>
      <c r="G534" s="431"/>
      <c r="J534" s="113"/>
    </row>
    <row r="535" spans="6:10" ht="32.1" hidden="1" customHeight="1">
      <c r="F535" s="155"/>
      <c r="G535" s="431"/>
      <c r="J535" s="113"/>
    </row>
    <row r="536" spans="6:10" ht="32.1" hidden="1" customHeight="1">
      <c r="F536" s="155"/>
      <c r="G536" s="431"/>
      <c r="J536" s="113"/>
    </row>
    <row r="537" spans="6:10" ht="32.1" hidden="1" customHeight="1">
      <c r="F537" s="155"/>
      <c r="G537" s="431"/>
      <c r="J537" s="113"/>
    </row>
    <row r="538" spans="6:10" ht="32.1" hidden="1" customHeight="1">
      <c r="F538" s="155"/>
      <c r="G538" s="431"/>
      <c r="J538" s="113"/>
    </row>
    <row r="539" spans="6:10" ht="32.1" hidden="1" customHeight="1">
      <c r="F539" s="155"/>
      <c r="G539" s="431"/>
      <c r="J539" s="113"/>
    </row>
    <row r="540" spans="6:10" ht="32.1" hidden="1" customHeight="1">
      <c r="F540" s="155"/>
      <c r="G540" s="431"/>
      <c r="J540" s="113"/>
    </row>
    <row r="541" spans="6:10" ht="32.1" hidden="1" customHeight="1">
      <c r="F541" s="155"/>
      <c r="G541" s="431"/>
      <c r="J541" s="113"/>
    </row>
    <row r="542" spans="6:10" ht="32.1" hidden="1" customHeight="1">
      <c r="F542" s="155"/>
      <c r="G542" s="431"/>
      <c r="J542" s="113"/>
    </row>
    <row r="543" spans="6:10" ht="32.1" hidden="1" customHeight="1">
      <c r="F543" s="155"/>
      <c r="G543" s="431"/>
      <c r="J543" s="113"/>
    </row>
    <row r="544" spans="6:10" ht="32.1" hidden="1" customHeight="1">
      <c r="F544" s="155"/>
      <c r="G544" s="431"/>
      <c r="J544" s="113"/>
    </row>
    <row r="545" spans="6:10" ht="32.1" hidden="1" customHeight="1">
      <c r="F545" s="155"/>
      <c r="G545" s="431"/>
      <c r="J545" s="113"/>
    </row>
    <row r="546" spans="6:10" ht="32.1" hidden="1" customHeight="1">
      <c r="F546" s="155"/>
      <c r="G546" s="431"/>
      <c r="J546" s="113"/>
    </row>
    <row r="547" spans="6:10" ht="32.1" hidden="1" customHeight="1">
      <c r="F547" s="155"/>
      <c r="G547" s="431"/>
      <c r="J547" s="113"/>
    </row>
    <row r="548" spans="6:10" ht="32.1" hidden="1" customHeight="1">
      <c r="F548" s="155"/>
      <c r="G548" s="431"/>
      <c r="J548" s="113"/>
    </row>
    <row r="549" spans="6:10" ht="32.1" hidden="1" customHeight="1">
      <c r="F549" s="155"/>
      <c r="G549" s="431"/>
      <c r="J549" s="113"/>
    </row>
    <row r="550" spans="6:10" ht="32.1" hidden="1" customHeight="1">
      <c r="F550" s="155"/>
      <c r="G550" s="431"/>
      <c r="J550" s="113"/>
    </row>
    <row r="551" spans="6:10" ht="32.1" hidden="1" customHeight="1">
      <c r="F551" s="155"/>
      <c r="G551" s="431"/>
      <c r="J551" s="113"/>
    </row>
    <row r="552" spans="6:10" ht="32.1" hidden="1" customHeight="1">
      <c r="F552" s="155"/>
      <c r="G552" s="431"/>
      <c r="J552" s="113"/>
    </row>
    <row r="553" spans="6:10" ht="32.1" hidden="1" customHeight="1">
      <c r="F553" s="155"/>
      <c r="G553" s="431"/>
      <c r="J553" s="113"/>
    </row>
    <row r="554" spans="6:10" ht="32.1" hidden="1" customHeight="1">
      <c r="F554" s="155"/>
      <c r="G554" s="431"/>
      <c r="J554" s="113"/>
    </row>
    <row r="555" spans="6:10" ht="32.1" hidden="1" customHeight="1">
      <c r="F555" s="155"/>
      <c r="G555" s="431"/>
      <c r="J555" s="113"/>
    </row>
    <row r="556" spans="6:10" ht="32.1" hidden="1" customHeight="1">
      <c r="F556" s="155"/>
      <c r="G556" s="431"/>
      <c r="J556" s="113"/>
    </row>
    <row r="557" spans="6:10" ht="32.1" hidden="1" customHeight="1">
      <c r="F557" s="155"/>
      <c r="G557" s="431"/>
      <c r="J557" s="113"/>
    </row>
    <row r="558" spans="6:10" ht="32.1" hidden="1" customHeight="1">
      <c r="F558" s="155"/>
      <c r="G558" s="431"/>
      <c r="J558" s="113"/>
    </row>
    <row r="559" spans="6:10" ht="32.1" hidden="1" customHeight="1">
      <c r="F559" s="155"/>
      <c r="G559" s="431"/>
      <c r="J559" s="113"/>
    </row>
    <row r="560" spans="6:10" ht="32.1" hidden="1" customHeight="1">
      <c r="F560" s="155"/>
      <c r="G560" s="431"/>
      <c r="J560" s="113"/>
    </row>
    <row r="561" spans="6:10" ht="32.1" hidden="1" customHeight="1">
      <c r="F561" s="155"/>
      <c r="G561" s="431"/>
      <c r="J561" s="113"/>
    </row>
    <row r="562" spans="6:10" ht="32.1" hidden="1" customHeight="1">
      <c r="F562" s="155"/>
      <c r="G562" s="431"/>
      <c r="J562" s="113"/>
    </row>
    <row r="563" spans="6:10" ht="32.1" hidden="1" customHeight="1">
      <c r="F563" s="155"/>
      <c r="G563" s="431"/>
      <c r="J563" s="113"/>
    </row>
    <row r="564" spans="6:10" ht="32.1" hidden="1" customHeight="1">
      <c r="F564" s="155"/>
      <c r="G564" s="431"/>
      <c r="J564" s="113"/>
    </row>
    <row r="565" spans="6:10" ht="32.1" hidden="1" customHeight="1">
      <c r="F565" s="155"/>
      <c r="G565" s="431"/>
      <c r="J565" s="113"/>
    </row>
    <row r="566" spans="6:10" ht="32.1" hidden="1" customHeight="1">
      <c r="F566" s="155"/>
      <c r="G566" s="431"/>
      <c r="J566" s="113"/>
    </row>
    <row r="567" spans="6:10" ht="32.1" hidden="1" customHeight="1">
      <c r="F567" s="155"/>
      <c r="G567" s="431"/>
      <c r="J567" s="113"/>
    </row>
    <row r="568" spans="6:10" ht="32.1" hidden="1" customHeight="1">
      <c r="F568" s="155"/>
      <c r="G568" s="431"/>
      <c r="J568" s="113"/>
    </row>
    <row r="569" spans="6:10" ht="32.1" hidden="1" customHeight="1">
      <c r="F569" s="155"/>
      <c r="G569" s="431"/>
      <c r="J569" s="113"/>
    </row>
    <row r="570" spans="6:10" ht="32.1" hidden="1" customHeight="1">
      <c r="F570" s="155"/>
      <c r="G570" s="431"/>
      <c r="J570" s="113"/>
    </row>
    <row r="571" spans="6:10" ht="32.1" hidden="1" customHeight="1">
      <c r="F571" s="155"/>
      <c r="G571" s="431"/>
      <c r="J571" s="113"/>
    </row>
    <row r="572" spans="6:10" ht="32.1" hidden="1" customHeight="1">
      <c r="F572" s="155"/>
      <c r="G572" s="431"/>
      <c r="J572" s="113"/>
    </row>
    <row r="573" spans="6:10" ht="32.1" hidden="1" customHeight="1">
      <c r="F573" s="155"/>
      <c r="G573" s="431"/>
      <c r="J573" s="113"/>
    </row>
    <row r="574" spans="6:10" ht="32.1" hidden="1" customHeight="1">
      <c r="F574" s="155"/>
      <c r="G574" s="431"/>
      <c r="J574" s="113"/>
    </row>
    <row r="575" spans="6:10" ht="32.1" hidden="1" customHeight="1">
      <c r="F575" s="155"/>
      <c r="G575" s="431"/>
      <c r="J575" s="113"/>
    </row>
    <row r="576" spans="6:10" ht="32.1" hidden="1" customHeight="1">
      <c r="F576" s="155"/>
      <c r="G576" s="431"/>
      <c r="J576" s="113"/>
    </row>
    <row r="577" spans="6:10" ht="32.1" hidden="1" customHeight="1">
      <c r="F577" s="155"/>
      <c r="G577" s="431"/>
      <c r="J577" s="113"/>
    </row>
    <row r="578" spans="6:10" ht="32.1" hidden="1" customHeight="1">
      <c r="F578" s="155"/>
      <c r="G578" s="431"/>
      <c r="J578" s="113"/>
    </row>
    <row r="579" spans="6:10" ht="32.1" hidden="1" customHeight="1">
      <c r="F579" s="155"/>
      <c r="G579" s="431"/>
      <c r="J579" s="113"/>
    </row>
  </sheetData>
  <mergeCells count="7">
    <mergeCell ref="C1:C2"/>
    <mergeCell ref="H1:H2"/>
    <mergeCell ref="D1:D2"/>
    <mergeCell ref="E1:E2"/>
    <mergeCell ref="F1:F2"/>
    <mergeCell ref="N1:N2"/>
    <mergeCell ref="G1:G2"/>
  </mergeCells>
  <phoneticPr fontId="11" type="noConversion"/>
  <printOptions horizontalCentered="1"/>
  <pageMargins left="0.19685039370078741" right="0.19685039370078741" top="0.98425196850393704" bottom="0.59055118110236227" header="0.39370078740157483" footer="0.19685039370078741"/>
  <pageSetup paperSize="9" orientation="portrait" blackAndWhite="1" r:id="rId1"/>
  <headerFooter alignWithMargins="0">
    <oddHeader>&amp;C&amp;"굴림,굵게"&amp;18용 지 조 서 (&amp;P)&amp;R
경기도 시흥시 방산동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"/>
    </sheetView>
  </sheetViews>
  <sheetFormatPr defaultRowHeight="13.5"/>
  <sheetData/>
  <phoneticPr fontId="1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showGridLines="0" showZeros="0" view="pageBreakPreview" workbookViewId="0">
      <selection sqref="A1:A2"/>
    </sheetView>
  </sheetViews>
  <sheetFormatPr defaultRowHeight="12"/>
  <cols>
    <col min="1" max="1" width="7.88671875" style="140" customWidth="1"/>
    <col min="2" max="2" width="6.77734375" style="95" customWidth="1"/>
    <col min="3" max="3" width="1.33203125" style="95" customWidth="1"/>
    <col min="4" max="4" width="7.77734375" style="95" customWidth="1"/>
    <col min="5" max="5" width="6.77734375" style="95" customWidth="1"/>
    <col min="6" max="6" width="1.33203125" style="95" customWidth="1"/>
    <col min="7" max="7" width="7.77734375" style="95" customWidth="1"/>
    <col min="8" max="8" width="6.77734375" style="95" customWidth="1"/>
    <col min="9" max="9" width="1.33203125" style="95" customWidth="1"/>
    <col min="10" max="10" width="7.77734375" style="95" customWidth="1"/>
    <col min="11" max="11" width="6.77734375" style="95" customWidth="1"/>
    <col min="12" max="12" width="1.33203125" style="95" customWidth="1"/>
    <col min="13" max="14" width="7.77734375" style="95" customWidth="1"/>
    <col min="15" max="16" width="8.33203125" style="184" customWidth="1"/>
    <col min="17" max="19" width="8.88671875" style="184"/>
    <col min="20" max="16384" width="8.88671875" style="95"/>
  </cols>
  <sheetData>
    <row r="1" spans="1:19" s="139" customFormat="1" ht="30" customHeight="1">
      <c r="A1" s="163" t="s">
        <v>77</v>
      </c>
      <c r="B1" s="96"/>
      <c r="C1" s="96"/>
      <c r="D1" s="94"/>
      <c r="E1" s="94"/>
      <c r="F1" s="96"/>
      <c r="G1" s="96"/>
      <c r="H1" s="94"/>
      <c r="I1" s="96"/>
      <c r="J1" s="96"/>
      <c r="K1" s="96"/>
      <c r="L1" s="96"/>
      <c r="M1" s="96"/>
      <c r="N1" s="96"/>
      <c r="O1" s="74"/>
      <c r="P1" s="74"/>
      <c r="Q1" s="74"/>
      <c r="R1" s="74"/>
      <c r="S1" s="74"/>
    </row>
    <row r="2" spans="1:19" s="142" customFormat="1" ht="15.95" customHeight="1">
      <c r="A2" s="140"/>
      <c r="B2" s="95"/>
      <c r="C2" s="95"/>
      <c r="D2" s="95"/>
      <c r="E2" s="95"/>
      <c r="F2" s="95"/>
      <c r="G2" s="95"/>
      <c r="H2" s="95"/>
      <c r="I2" s="95"/>
      <c r="J2" s="95"/>
      <c r="L2" s="141"/>
      <c r="N2" s="164" t="s">
        <v>116</v>
      </c>
      <c r="O2" s="74"/>
      <c r="P2" s="74"/>
      <c r="Q2" s="74"/>
      <c r="R2" s="74"/>
      <c r="S2" s="74"/>
    </row>
    <row r="3" spans="1:19" s="143" customFormat="1" ht="27.95" customHeight="1">
      <c r="A3" s="488" t="s">
        <v>2</v>
      </c>
      <c r="B3" s="165" t="s">
        <v>3</v>
      </c>
      <c r="C3" s="165"/>
      <c r="D3" s="165"/>
      <c r="E3" s="165" t="s">
        <v>80</v>
      </c>
      <c r="F3" s="165"/>
      <c r="G3" s="165"/>
      <c r="H3" s="165" t="s">
        <v>81</v>
      </c>
      <c r="I3" s="165"/>
      <c r="J3" s="165"/>
      <c r="K3" s="165" t="s">
        <v>82</v>
      </c>
      <c r="L3" s="165"/>
      <c r="M3" s="165"/>
      <c r="N3" s="490" t="s">
        <v>22</v>
      </c>
      <c r="O3" s="74"/>
      <c r="P3" s="74"/>
      <c r="Q3" s="74"/>
      <c r="R3" s="74"/>
      <c r="S3" s="74"/>
    </row>
    <row r="4" spans="1:19" s="143" customFormat="1" ht="27.95" customHeight="1">
      <c r="A4" s="489"/>
      <c r="B4" s="169" t="s">
        <v>78</v>
      </c>
      <c r="C4" s="170" t="s">
        <v>5</v>
      </c>
      <c r="D4" s="171" t="s">
        <v>79</v>
      </c>
      <c r="E4" s="169" t="s">
        <v>4</v>
      </c>
      <c r="F4" s="170" t="s">
        <v>5</v>
      </c>
      <c r="G4" s="171" t="s">
        <v>79</v>
      </c>
      <c r="H4" s="169" t="s">
        <v>4</v>
      </c>
      <c r="I4" s="170" t="s">
        <v>5</v>
      </c>
      <c r="J4" s="171" t="s">
        <v>79</v>
      </c>
      <c r="K4" s="169" t="s">
        <v>4</v>
      </c>
      <c r="L4" s="170" t="s">
        <v>5</v>
      </c>
      <c r="M4" s="171" t="s">
        <v>79</v>
      </c>
      <c r="N4" s="491"/>
      <c r="O4" s="74"/>
      <c r="P4" s="74"/>
      <c r="Q4" s="74"/>
      <c r="R4" s="74"/>
      <c r="S4" s="74"/>
    </row>
    <row r="5" spans="1:19" s="143" customFormat="1" ht="23.1" customHeight="1">
      <c r="A5" s="179" t="s">
        <v>3</v>
      </c>
      <c r="B5" s="172">
        <f>SUM(B6:B30)</f>
        <v>78</v>
      </c>
      <c r="C5" s="173" t="s">
        <v>5</v>
      </c>
      <c r="D5" s="174">
        <f>SUM(D6:D30)</f>
        <v>16843</v>
      </c>
      <c r="E5" s="172">
        <f>SUM(E6:E30)</f>
        <v>6</v>
      </c>
      <c r="F5" s="173" t="s">
        <v>5</v>
      </c>
      <c r="G5" s="174">
        <f>SUM(G6:G30)</f>
        <v>3666</v>
      </c>
      <c r="H5" s="172">
        <f>SUM(H6:H30)</f>
        <v>16</v>
      </c>
      <c r="I5" s="173" t="s">
        <v>5</v>
      </c>
      <c r="J5" s="174">
        <f>SUM(J6:J30)</f>
        <v>3911</v>
      </c>
      <c r="K5" s="172">
        <f>SUM(K6:K30)</f>
        <v>56</v>
      </c>
      <c r="L5" s="173" t="s">
        <v>5</v>
      </c>
      <c r="M5" s="174">
        <f>SUM(M6:M30)</f>
        <v>9266</v>
      </c>
      <c r="N5" s="168"/>
      <c r="O5" s="74" t="str">
        <f>IF(D5=(G5+J5+M5),"ok","false")</f>
        <v>ok</v>
      </c>
      <c r="P5" s="74"/>
      <c r="Q5" s="74" t="s">
        <v>70</v>
      </c>
      <c r="R5" s="74" t="s">
        <v>71</v>
      </c>
      <c r="S5" s="74" t="s">
        <v>98</v>
      </c>
    </row>
    <row r="6" spans="1:19" s="143" customFormat="1" ht="23.1" customHeight="1">
      <c r="A6" s="180" t="s">
        <v>7</v>
      </c>
      <c r="B6" s="175">
        <f>COUNTIF('고천리 (2)'!$C$3:$C$1013,P6)</f>
        <v>9</v>
      </c>
      <c r="C6" s="76" t="s">
        <v>5</v>
      </c>
      <c r="D6" s="176">
        <f>SUMIF('고천리 (2)'!$C$3:$C$1013,P6,'고천리 (2)'!$E$3:$E$1013)</f>
        <v>735</v>
      </c>
      <c r="E6" s="175">
        <f>COUNTIF('고천리 (2)'!$P$3:$P$1013,Q6)</f>
        <v>0</v>
      </c>
      <c r="F6" s="76" t="s">
        <v>5</v>
      </c>
      <c r="G6" s="176">
        <f>SUMIF('고천리 (2)'!$P$3:$P$1013,Q6,'고천리 (2)'!$E$3:$E$1013)</f>
        <v>0</v>
      </c>
      <c r="H6" s="175">
        <f>COUNTIF('고천리 (2)'!$P$3:$P$1013,R6)</f>
        <v>0</v>
      </c>
      <c r="I6" s="76" t="s">
        <v>5</v>
      </c>
      <c r="J6" s="176">
        <f>SUMIF('고천리 (2)'!$P$3:$P$1013,R6,'고천리 (2)'!$E$3:$E$1013)</f>
        <v>0</v>
      </c>
      <c r="K6" s="175">
        <f>COUNTIF('고천리 (2)'!$P$3:$P$1013,S6)</f>
        <v>9</v>
      </c>
      <c r="L6" s="76" t="s">
        <v>5</v>
      </c>
      <c r="M6" s="176">
        <f>SUMIF('고천리 (2)'!$P$3:$P$1013,S6,'고천리 (2)'!$E$3:$E$1013)</f>
        <v>735</v>
      </c>
      <c r="N6" s="166"/>
      <c r="O6" s="74" t="str">
        <f t="shared" ref="O6:O30" si="0">IF(D6=(G6+J6+M6),"ok","false")</f>
        <v>ok</v>
      </c>
      <c r="P6" s="74" t="s">
        <v>62</v>
      </c>
      <c r="Q6" s="183" t="str">
        <f>CONCATENATE($P6,Q$5)</f>
        <v>전국</v>
      </c>
      <c r="R6" s="183" t="str">
        <f t="shared" ref="R6:S21" si="1">CONCATENATE($P6,R$5)</f>
        <v>전공</v>
      </c>
      <c r="S6" s="183" t="str">
        <f t="shared" si="1"/>
        <v>전사</v>
      </c>
    </row>
    <row r="7" spans="1:19" s="143" customFormat="1" ht="23.1" customHeight="1">
      <c r="A7" s="180" t="s">
        <v>8</v>
      </c>
      <c r="B7" s="175">
        <f>COUNTIF('고천리 (2)'!$C$3:$C$1013,P7)</f>
        <v>18</v>
      </c>
      <c r="C7" s="76" t="s">
        <v>5</v>
      </c>
      <c r="D7" s="176">
        <f>SUMIF('고천리 (2)'!$C$3:$C$1013,P7,'고천리 (2)'!$E$3:$E$1013)</f>
        <v>2714</v>
      </c>
      <c r="E7" s="175">
        <f>COUNTIF('고천리 (2)'!$P$3:$P$1013,"답국")</f>
        <v>0</v>
      </c>
      <c r="F7" s="76" t="s">
        <v>5</v>
      </c>
      <c r="G7" s="176">
        <f>SUMIF('고천리 (2)'!$P$3:$P$1013,Q7,'고천리 (2)'!$E$3:$E$1013)</f>
        <v>0</v>
      </c>
      <c r="H7" s="175">
        <f>COUNTIF('고천리 (2)'!$P$3:$P$1013,R7)</f>
        <v>4</v>
      </c>
      <c r="I7" s="76" t="s">
        <v>5</v>
      </c>
      <c r="J7" s="176">
        <f>SUMIF('고천리 (2)'!$P$3:$P$1013,R7,'고천리 (2)'!$E$3:$E$1013)</f>
        <v>921</v>
      </c>
      <c r="K7" s="175">
        <f>COUNTIF('고천리 (2)'!$P$3:$P$1013,S7)</f>
        <v>14</v>
      </c>
      <c r="L7" s="76" t="s">
        <v>5</v>
      </c>
      <c r="M7" s="176">
        <f>SUMIF('고천리 (2)'!$P$3:$P$1013,S7,'고천리 (2)'!$E$3:$E$1013)</f>
        <v>1793</v>
      </c>
      <c r="N7" s="166"/>
      <c r="O7" s="74" t="str">
        <f t="shared" si="0"/>
        <v>ok</v>
      </c>
      <c r="P7" s="74" t="s">
        <v>67</v>
      </c>
      <c r="Q7" s="183" t="str">
        <f t="shared" ref="Q7:S30" si="2">CONCATENATE($P7,Q$5)</f>
        <v>답국</v>
      </c>
      <c r="R7" s="183" t="str">
        <f t="shared" si="1"/>
        <v>답공</v>
      </c>
      <c r="S7" s="183" t="str">
        <f t="shared" si="1"/>
        <v>답사</v>
      </c>
    </row>
    <row r="8" spans="1:19" s="143" customFormat="1" ht="23.1" customHeight="1">
      <c r="A8" s="181" t="s">
        <v>9</v>
      </c>
      <c r="B8" s="175">
        <f>COUNTIF('고천리 (2)'!$C$3:$C$1013,P8)</f>
        <v>11</v>
      </c>
      <c r="C8" s="76" t="s">
        <v>5</v>
      </c>
      <c r="D8" s="176">
        <f>SUMIF('고천리 (2)'!$C$3:$C$1013,P8,'고천리 (2)'!$E$3:$E$1013)</f>
        <v>2626</v>
      </c>
      <c r="E8" s="175">
        <f>COUNTIF('고천리 (2)'!$P$3:$P$1013,"임국")</f>
        <v>0</v>
      </c>
      <c r="F8" s="76" t="s">
        <v>5</v>
      </c>
      <c r="G8" s="176">
        <f>SUMIF('고천리 (2)'!$P$3:$P$1013,Q8,'고천리 (2)'!$E$3:$E$1013)</f>
        <v>0</v>
      </c>
      <c r="H8" s="175">
        <f>COUNTIF('고천리 (2)'!$P$3:$P$1013,R8)</f>
        <v>1</v>
      </c>
      <c r="I8" s="76" t="s">
        <v>5</v>
      </c>
      <c r="J8" s="176">
        <f>SUMIF('고천리 (2)'!$P$3:$P$1013,R8,'고천리 (2)'!$E$3:$E$1013)</f>
        <v>275</v>
      </c>
      <c r="K8" s="175">
        <f>COUNTIF('고천리 (2)'!$P$3:$P$1013,S8)</f>
        <v>10</v>
      </c>
      <c r="L8" s="76" t="s">
        <v>5</v>
      </c>
      <c r="M8" s="176">
        <f>SUMIF('고천리 (2)'!$P$3:$P$1013,S8,'고천리 (2)'!$E$3:$E$1013)</f>
        <v>2351</v>
      </c>
      <c r="N8" s="166"/>
      <c r="O8" s="74" t="str">
        <f t="shared" si="0"/>
        <v>ok</v>
      </c>
      <c r="P8" s="74" t="s">
        <v>64</v>
      </c>
      <c r="Q8" s="183" t="str">
        <f t="shared" si="2"/>
        <v>임국</v>
      </c>
      <c r="R8" s="183" t="str">
        <f t="shared" si="1"/>
        <v>임공</v>
      </c>
      <c r="S8" s="183" t="str">
        <f t="shared" si="1"/>
        <v>임사</v>
      </c>
    </row>
    <row r="9" spans="1:19" s="143" customFormat="1" ht="23.1" customHeight="1">
      <c r="A9" s="180" t="s">
        <v>10</v>
      </c>
      <c r="B9" s="175">
        <f>COUNTIF('고천리 (2)'!$C$3:$C$1013,P9)</f>
        <v>9</v>
      </c>
      <c r="C9" s="76" t="s">
        <v>5</v>
      </c>
      <c r="D9" s="176">
        <f>SUMIF('고천리 (2)'!$C$3:$C$1013,P9,'고천리 (2)'!$E$3:$E$1013)</f>
        <v>525</v>
      </c>
      <c r="E9" s="175">
        <f>COUNTIF('고천리 (2)'!$P$3:$P$1013,"대국")</f>
        <v>0</v>
      </c>
      <c r="F9" s="76" t="s">
        <v>5</v>
      </c>
      <c r="G9" s="176">
        <f>SUMIF('고천리 (2)'!$P$3:$P$1013,Q9,'고천리 (2)'!$E$3:$E$1013)</f>
        <v>0</v>
      </c>
      <c r="H9" s="175">
        <f>COUNTIF('고천리 (2)'!$P$3:$P$1013,R9)</f>
        <v>0</v>
      </c>
      <c r="I9" s="76" t="s">
        <v>5</v>
      </c>
      <c r="J9" s="176">
        <f>SUMIF('고천리 (2)'!$P$3:$P$1013,R9,'고천리 (2)'!$E$3:$E$1013)</f>
        <v>0</v>
      </c>
      <c r="K9" s="175">
        <f>COUNTIF('고천리 (2)'!$P$3:$P$1013,S9)</f>
        <v>9</v>
      </c>
      <c r="L9" s="76" t="s">
        <v>5</v>
      </c>
      <c r="M9" s="176">
        <f>SUMIF('고천리 (2)'!$P$3:$P$1013,S9,'고천리 (2)'!$E$3:$E$1013)</f>
        <v>525</v>
      </c>
      <c r="N9" s="166"/>
      <c r="O9" s="74" t="str">
        <f t="shared" si="0"/>
        <v>ok</v>
      </c>
      <c r="P9" s="74" t="s">
        <v>61</v>
      </c>
      <c r="Q9" s="183" t="str">
        <f t="shared" si="2"/>
        <v>대국</v>
      </c>
      <c r="R9" s="183" t="str">
        <f t="shared" si="1"/>
        <v>대공</v>
      </c>
      <c r="S9" s="183" t="str">
        <f t="shared" si="1"/>
        <v>대사</v>
      </c>
    </row>
    <row r="10" spans="1:19" s="143" customFormat="1" ht="23.1" customHeight="1">
      <c r="A10" s="180" t="s">
        <v>11</v>
      </c>
      <c r="B10" s="175">
        <f>COUNTIF('고천리 (2)'!$C$3:$C$1013,P10)</f>
        <v>29</v>
      </c>
      <c r="C10" s="76" t="s">
        <v>5</v>
      </c>
      <c r="D10" s="176">
        <f>SUMIF('고천리 (2)'!$C$3:$C$1013,P10,'고천리 (2)'!$E$3:$E$1013)</f>
        <v>6831</v>
      </c>
      <c r="E10" s="175">
        <f>COUNTIF('고천리 (2)'!$P$3:$P$1013,"도국")</f>
        <v>5</v>
      </c>
      <c r="F10" s="76" t="s">
        <v>5</v>
      </c>
      <c r="G10" s="176">
        <f>SUMIF('고천리 (2)'!$P$3:$P$1013,Q10,'고천리 (2)'!$E$3:$E$1013)</f>
        <v>644</v>
      </c>
      <c r="H10" s="175">
        <f>COUNTIF('고천리 (2)'!$P$3:$P$1013,R10)</f>
        <v>11</v>
      </c>
      <c r="I10" s="76" t="s">
        <v>5</v>
      </c>
      <c r="J10" s="176">
        <f>SUMIF('고천리 (2)'!$P$3:$P$1013,R10,'고천리 (2)'!$E$3:$E$1013)</f>
        <v>2715</v>
      </c>
      <c r="K10" s="175">
        <f>COUNTIF('고천리 (2)'!$P$3:$P$1013,S10)</f>
        <v>13</v>
      </c>
      <c r="L10" s="76" t="s">
        <v>5</v>
      </c>
      <c r="M10" s="176">
        <f>SUMIF('고천리 (2)'!$P$3:$P$1013,S10,'고천리 (2)'!$E$3:$E$1013)</f>
        <v>3472</v>
      </c>
      <c r="N10" s="166"/>
      <c r="O10" s="74" t="str">
        <f t="shared" si="0"/>
        <v>ok</v>
      </c>
      <c r="P10" s="74" t="s">
        <v>63</v>
      </c>
      <c r="Q10" s="183" t="str">
        <f t="shared" si="2"/>
        <v>도국</v>
      </c>
      <c r="R10" s="183" t="str">
        <f t="shared" si="1"/>
        <v>도공</v>
      </c>
      <c r="S10" s="183" t="str">
        <f t="shared" si="1"/>
        <v>도사</v>
      </c>
    </row>
    <row r="11" spans="1:19" s="143" customFormat="1" ht="23.1" customHeight="1">
      <c r="A11" s="180" t="s">
        <v>13</v>
      </c>
      <c r="B11" s="175">
        <f>COUNTIF('고천리 (2)'!$C$3:$C$1013,P11)</f>
        <v>0</v>
      </c>
      <c r="C11" s="76" t="s">
        <v>5</v>
      </c>
      <c r="D11" s="176">
        <f>SUMIF('고천리 (2)'!$C$3:$C$1013,P11,'고천리 (2)'!$E$3:$E$1013)</f>
        <v>0</v>
      </c>
      <c r="E11" s="175">
        <f>COUNTIF('고천리 (2)'!$P$3:$P$1013,"구국")</f>
        <v>0</v>
      </c>
      <c r="F11" s="76" t="s">
        <v>5</v>
      </c>
      <c r="G11" s="176">
        <f>SUMIF('고천리 (2)'!$P$3:$P$1013,Q11,'고천리 (2)'!$E$3:$E$1013)</f>
        <v>0</v>
      </c>
      <c r="H11" s="175">
        <f>COUNTIF('고천리 (2)'!$P$3:$P$1013,R11)</f>
        <v>0</v>
      </c>
      <c r="I11" s="76" t="s">
        <v>5</v>
      </c>
      <c r="J11" s="176">
        <f>SUMIF('고천리 (2)'!$P$3:$P$1013,R11,'고천리 (2)'!$E$3:$E$1013)</f>
        <v>0</v>
      </c>
      <c r="K11" s="175">
        <f>COUNTIF('고천리 (2)'!$P$3:$P$1013,S11)</f>
        <v>0</v>
      </c>
      <c r="L11" s="76" t="s">
        <v>5</v>
      </c>
      <c r="M11" s="176">
        <f>SUMIF('고천리 (2)'!$P$3:$P$1013,S11,'고천리 (2)'!$E$3:$E$1013)</f>
        <v>0</v>
      </c>
      <c r="N11" s="166"/>
      <c r="O11" s="74" t="str">
        <f t="shared" si="0"/>
        <v>ok</v>
      </c>
      <c r="P11" s="74" t="s">
        <v>69</v>
      </c>
      <c r="Q11" s="183" t="str">
        <f t="shared" si="2"/>
        <v>구국</v>
      </c>
      <c r="R11" s="183" t="str">
        <f t="shared" si="1"/>
        <v>구공</v>
      </c>
      <c r="S11" s="183" t="str">
        <f t="shared" si="1"/>
        <v>구사</v>
      </c>
    </row>
    <row r="12" spans="1:19" s="143" customFormat="1" ht="23.1" customHeight="1">
      <c r="A12" s="180" t="s">
        <v>12</v>
      </c>
      <c r="B12" s="175">
        <f>COUNTIF('고천리 (2)'!$C$3:$C$1013,P12)</f>
        <v>2</v>
      </c>
      <c r="C12" s="76" t="s">
        <v>5</v>
      </c>
      <c r="D12" s="176">
        <f>SUMIF('고천리 (2)'!$C$3:$C$1013,P12,'고천리 (2)'!$E$3:$E$1013)</f>
        <v>3412</v>
      </c>
      <c r="E12" s="175">
        <f>COUNTIF('고천리 (2)'!$P$3:$P$1013,"천국")</f>
        <v>1</v>
      </c>
      <c r="F12" s="76" t="s">
        <v>5</v>
      </c>
      <c r="G12" s="176">
        <f>SUMIF('고천리 (2)'!$P$3:$P$1013,Q12,'고천리 (2)'!$E$3:$E$1013)</f>
        <v>3022</v>
      </c>
      <c r="H12" s="175">
        <f>COUNTIF('고천리 (2)'!$P$3:$P$1013,R12)</f>
        <v>0</v>
      </c>
      <c r="I12" s="76" t="s">
        <v>5</v>
      </c>
      <c r="J12" s="176">
        <f>SUMIF('고천리 (2)'!$P$3:$P$1013,R12,'고천리 (2)'!$E$3:$E$1013)</f>
        <v>0</v>
      </c>
      <c r="K12" s="175">
        <f>COUNTIF('고천리 (2)'!$P$3:$P$1013,S12)</f>
        <v>1</v>
      </c>
      <c r="L12" s="76" t="s">
        <v>5</v>
      </c>
      <c r="M12" s="176">
        <f>SUMIF('고천리 (2)'!$P$3:$P$1013,S12,'고천리 (2)'!$E$3:$E$1013)</f>
        <v>390</v>
      </c>
      <c r="N12" s="166"/>
      <c r="O12" s="74" t="str">
        <f t="shared" si="0"/>
        <v>ok</v>
      </c>
      <c r="P12" s="74" t="s">
        <v>83</v>
      </c>
      <c r="Q12" s="183" t="str">
        <f t="shared" si="2"/>
        <v>천국</v>
      </c>
      <c r="R12" s="183" t="str">
        <f t="shared" si="1"/>
        <v>천공</v>
      </c>
      <c r="S12" s="183" t="str">
        <f t="shared" si="1"/>
        <v>천사</v>
      </c>
    </row>
    <row r="13" spans="1:19" s="143" customFormat="1" ht="23.1" customHeight="1">
      <c r="A13" s="180" t="s">
        <v>15</v>
      </c>
      <c r="B13" s="175">
        <f>COUNTIF('고천리 (2)'!$C$3:$C$1013,P13)</f>
        <v>0</v>
      </c>
      <c r="C13" s="76" t="s">
        <v>5</v>
      </c>
      <c r="D13" s="176">
        <f>SUMIF('고천리 (2)'!$C$3:$C$1013,P13,'고천리 (2)'!$E$3:$E$1013)</f>
        <v>0</v>
      </c>
      <c r="E13" s="175">
        <f>COUNTIF('고천리 (2)'!$P$3:$P$1013,"유국")</f>
        <v>0</v>
      </c>
      <c r="F13" s="76" t="s">
        <v>5</v>
      </c>
      <c r="G13" s="176">
        <f>SUMIF('고천리 (2)'!$P$3:$P$1013,Q13,'고천리 (2)'!$E$3:$E$1013)</f>
        <v>0</v>
      </c>
      <c r="H13" s="175">
        <f>COUNTIF('고천리 (2)'!$P$3:$P$1013,R13)</f>
        <v>0</v>
      </c>
      <c r="I13" s="76" t="s">
        <v>5</v>
      </c>
      <c r="J13" s="176">
        <f>SUMIF('고천리 (2)'!$P$3:$P$1013,R13,'고천리 (2)'!$E$3:$E$1013)</f>
        <v>0</v>
      </c>
      <c r="K13" s="175">
        <f>COUNTIF('고천리 (2)'!$P$3:$P$1013,S13)</f>
        <v>0</v>
      </c>
      <c r="L13" s="76" t="s">
        <v>5</v>
      </c>
      <c r="M13" s="176">
        <f>SUMIF('고천리 (2)'!$P$3:$P$1013,S13,'고천리 (2)'!$E$3:$E$1013)</f>
        <v>0</v>
      </c>
      <c r="N13" s="166"/>
      <c r="O13" s="74" t="str">
        <f t="shared" si="0"/>
        <v>ok</v>
      </c>
      <c r="P13" s="74" t="s">
        <v>84</v>
      </c>
      <c r="Q13" s="183" t="str">
        <f t="shared" si="2"/>
        <v>유국</v>
      </c>
      <c r="R13" s="183" t="str">
        <f t="shared" si="1"/>
        <v>유공</v>
      </c>
      <c r="S13" s="183" t="str">
        <f t="shared" si="1"/>
        <v>유사</v>
      </c>
    </row>
    <row r="14" spans="1:19" s="143" customFormat="1" ht="23.1" customHeight="1">
      <c r="A14" s="180" t="s">
        <v>14</v>
      </c>
      <c r="B14" s="175">
        <f>COUNTIF('고천리 (2)'!$C$3:$C$1013,P14)</f>
        <v>0</v>
      </c>
      <c r="C14" s="76" t="s">
        <v>5</v>
      </c>
      <c r="D14" s="176">
        <f>SUMIF('고천리 (2)'!$C$3:$C$1013,P14,'고천리 (2)'!$E$3:$E$1013)</f>
        <v>0</v>
      </c>
      <c r="E14" s="175">
        <f>COUNTIF('고천리 (2)'!$P$3:$P$1013,"제국")</f>
        <v>0</v>
      </c>
      <c r="F14" s="76" t="s">
        <v>5</v>
      </c>
      <c r="G14" s="176">
        <f>SUMIF('고천리 (2)'!$P$3:$P$1013,Q14,'고천리 (2)'!$E$3:$E$1013)</f>
        <v>0</v>
      </c>
      <c r="H14" s="175">
        <f>COUNTIF('고천리 (2)'!$P$3:$P$1013,R14)</f>
        <v>0</v>
      </c>
      <c r="I14" s="76" t="s">
        <v>5</v>
      </c>
      <c r="J14" s="176">
        <f>SUMIF('고천리 (2)'!$P$3:$P$1013,R14,'고천리 (2)'!$E$3:$E$1013)</f>
        <v>0</v>
      </c>
      <c r="K14" s="175">
        <f>COUNTIF('고천리 (2)'!$P$3:$P$1013,S14)</f>
        <v>0</v>
      </c>
      <c r="L14" s="76" t="s">
        <v>5</v>
      </c>
      <c r="M14" s="176">
        <f>SUMIF('고천리 (2)'!$P$3:$P$1013,S14,'고천리 (2)'!$E$3:$E$1013)</f>
        <v>0</v>
      </c>
      <c r="N14" s="166"/>
      <c r="O14" s="74" t="str">
        <f t="shared" si="0"/>
        <v>ok</v>
      </c>
      <c r="P14" s="74" t="s">
        <v>85</v>
      </c>
      <c r="Q14" s="183" t="str">
        <f t="shared" si="2"/>
        <v>제국</v>
      </c>
      <c r="R14" s="183" t="str">
        <f t="shared" si="1"/>
        <v>제공</v>
      </c>
      <c r="S14" s="183" t="str">
        <f t="shared" si="1"/>
        <v>제사</v>
      </c>
    </row>
    <row r="15" spans="1:19" s="143" customFormat="1" ht="23.1" customHeight="1">
      <c r="A15" s="180" t="s">
        <v>16</v>
      </c>
      <c r="B15" s="175">
        <f>COUNTIF('고천리 (2)'!$C$3:$C$1013,P15)</f>
        <v>0</v>
      </c>
      <c r="C15" s="76" t="s">
        <v>5</v>
      </c>
      <c r="D15" s="176">
        <f>SUMIF('고천리 (2)'!$C$3:$C$1013,P15,'고천리 (2)'!$E$3:$E$1013)</f>
        <v>0</v>
      </c>
      <c r="E15" s="175">
        <f>COUNTIF('고천리 (2)'!$P$3:$P$1013,"과국")</f>
        <v>0</v>
      </c>
      <c r="F15" s="76" t="s">
        <v>5</v>
      </c>
      <c r="G15" s="176">
        <f>SUMIF('고천리 (2)'!$P$3:$P$1013,Q15,'고천리 (2)'!$E$3:$E$1013)</f>
        <v>0</v>
      </c>
      <c r="H15" s="175">
        <f>COUNTIF('고천리 (2)'!$P$3:$P$1013,R15)</f>
        <v>0</v>
      </c>
      <c r="I15" s="76" t="s">
        <v>5</v>
      </c>
      <c r="J15" s="176">
        <f>SUMIF('고천리 (2)'!$P$3:$P$1013,R15,'고천리 (2)'!$E$3:$E$1013)</f>
        <v>0</v>
      </c>
      <c r="K15" s="175">
        <f>COUNTIF('고천리 (2)'!$P$3:$P$1013,S15)</f>
        <v>0</v>
      </c>
      <c r="L15" s="76" t="s">
        <v>5</v>
      </c>
      <c r="M15" s="176">
        <f>SUMIF('고천리 (2)'!$P$3:$P$1013,S15,'고천리 (2)'!$E$3:$E$1013)</f>
        <v>0</v>
      </c>
      <c r="N15" s="166"/>
      <c r="O15" s="74" t="str">
        <f t="shared" si="0"/>
        <v>ok</v>
      </c>
      <c r="P15" s="74" t="s">
        <v>86</v>
      </c>
      <c r="Q15" s="183" t="str">
        <f t="shared" si="2"/>
        <v>과국</v>
      </c>
      <c r="R15" s="183" t="str">
        <f t="shared" si="1"/>
        <v>과공</v>
      </c>
      <c r="S15" s="183" t="str">
        <f t="shared" si="1"/>
        <v>과사</v>
      </c>
    </row>
    <row r="16" spans="1:19" s="143" customFormat="1" ht="23.1" customHeight="1">
      <c r="A16" s="180" t="s">
        <v>21</v>
      </c>
      <c r="B16" s="175">
        <f>COUNTIF('고천리 (2)'!$C$3:$C$1013,P16)</f>
        <v>0</v>
      </c>
      <c r="C16" s="76" t="s">
        <v>5</v>
      </c>
      <c r="D16" s="176">
        <f>SUMIF('고천리 (2)'!$C$3:$C$1013,P16,'고천리 (2)'!$E$3:$E$1013)</f>
        <v>0</v>
      </c>
      <c r="E16" s="175">
        <f>COUNTIF('고천리 (2)'!$P$3:$P$1013,"장국")</f>
        <v>0</v>
      </c>
      <c r="F16" s="76" t="s">
        <v>5</v>
      </c>
      <c r="G16" s="176">
        <f>SUMIF('고천리 (2)'!$P$3:$P$1013,Q16,'고천리 (2)'!$E$3:$E$1013)</f>
        <v>0</v>
      </c>
      <c r="H16" s="175">
        <f>COUNTIF('고천리 (2)'!$P$3:$P$1013,R16)</f>
        <v>0</v>
      </c>
      <c r="I16" s="76" t="s">
        <v>5</v>
      </c>
      <c r="J16" s="176">
        <f>SUMIF('고천리 (2)'!$P$3:$P$1013,R16,'고천리 (2)'!$E$3:$E$1013)</f>
        <v>0</v>
      </c>
      <c r="K16" s="175">
        <f>COUNTIF('고천리 (2)'!$P$3:$P$1013,S16)</f>
        <v>0</v>
      </c>
      <c r="L16" s="76" t="s">
        <v>5</v>
      </c>
      <c r="M16" s="176">
        <f>SUMIF('고천리 (2)'!$P$3:$P$1013,S16,'고천리 (2)'!$E$3:$E$1013)</f>
        <v>0</v>
      </c>
      <c r="N16" s="166"/>
      <c r="O16" s="74" t="str">
        <f t="shared" si="0"/>
        <v>ok</v>
      </c>
      <c r="P16" s="74" t="s">
        <v>65</v>
      </c>
      <c r="Q16" s="183" t="str">
        <f t="shared" si="2"/>
        <v>장국</v>
      </c>
      <c r="R16" s="183" t="str">
        <f t="shared" si="1"/>
        <v>장공</v>
      </c>
      <c r="S16" s="183" t="str">
        <f t="shared" si="1"/>
        <v>장사</v>
      </c>
    </row>
    <row r="17" spans="1:19" s="143" customFormat="1" ht="23.1" customHeight="1">
      <c r="A17" s="180" t="s">
        <v>18</v>
      </c>
      <c r="B17" s="175">
        <f>COUNTIF('고천리 (2)'!$C$3:$C$1013,P17)</f>
        <v>0</v>
      </c>
      <c r="C17" s="76" t="s">
        <v>5</v>
      </c>
      <c r="D17" s="176">
        <f>SUMIF('고천리 (2)'!$C$3:$C$1013,P17,'고천리 (2)'!$E$3:$E$1013)</f>
        <v>0</v>
      </c>
      <c r="E17" s="175">
        <f>COUNTIF('고천리 (2)'!$P$3:$P$1013,"목국")</f>
        <v>0</v>
      </c>
      <c r="F17" s="76" t="s">
        <v>5</v>
      </c>
      <c r="G17" s="176">
        <f>SUMIF('고천리 (2)'!$P$3:$P$1013,Q17,'고천리 (2)'!$E$3:$E$1013)</f>
        <v>0</v>
      </c>
      <c r="H17" s="175">
        <f>COUNTIF('고천리 (2)'!$P$3:$P$1013,R17)</f>
        <v>0</v>
      </c>
      <c r="I17" s="76" t="s">
        <v>5</v>
      </c>
      <c r="J17" s="176">
        <f>SUMIF('고천리 (2)'!$P$3:$P$1013,R17,'고천리 (2)'!$E$3:$E$1013)</f>
        <v>0</v>
      </c>
      <c r="K17" s="175">
        <f>COUNTIF('고천리 (2)'!$P$3:$P$1013,S17)</f>
        <v>0</v>
      </c>
      <c r="L17" s="76" t="s">
        <v>5</v>
      </c>
      <c r="M17" s="176">
        <f>SUMIF('고천리 (2)'!$P$3:$P$1013,S17,'고천리 (2)'!$E$3:$E$1013)</f>
        <v>0</v>
      </c>
      <c r="N17" s="166"/>
      <c r="O17" s="74" t="str">
        <f t="shared" si="0"/>
        <v>ok</v>
      </c>
      <c r="P17" s="74" t="s">
        <v>66</v>
      </c>
      <c r="Q17" s="183" t="str">
        <f t="shared" si="2"/>
        <v>목국</v>
      </c>
      <c r="R17" s="183" t="str">
        <f t="shared" si="1"/>
        <v>목공</v>
      </c>
      <c r="S17" s="183" t="str">
        <f t="shared" si="1"/>
        <v>목사</v>
      </c>
    </row>
    <row r="18" spans="1:19" s="143" customFormat="1" ht="23.1" customHeight="1">
      <c r="A18" s="180" t="s">
        <v>23</v>
      </c>
      <c r="B18" s="175">
        <f>COUNTIF('고천리 (2)'!$C$3:$C$1013,P18)</f>
        <v>0</v>
      </c>
      <c r="C18" s="76" t="s">
        <v>5</v>
      </c>
      <c r="D18" s="176">
        <f>SUMIF('고천리 (2)'!$C$3:$C$1013,P18,'고천리 (2)'!$E$3:$E$1013)</f>
        <v>0</v>
      </c>
      <c r="E18" s="175">
        <f>COUNTIF('고천리 (2)'!$P$3:$P$1013,"학국")</f>
        <v>0</v>
      </c>
      <c r="F18" s="76" t="s">
        <v>5</v>
      </c>
      <c r="G18" s="176">
        <f>SUMIF('고천리 (2)'!$P$3:$P$1013,Q18,'고천리 (2)'!$E$3:$E$1013)</f>
        <v>0</v>
      </c>
      <c r="H18" s="175">
        <f>COUNTIF('고천리 (2)'!$P$3:$P$1013,R18)</f>
        <v>0</v>
      </c>
      <c r="I18" s="76" t="s">
        <v>5</v>
      </c>
      <c r="J18" s="176">
        <f>SUMIF('고천리 (2)'!$P$3:$P$1013,R18,'고천리 (2)'!$E$3:$E$1013)</f>
        <v>0</v>
      </c>
      <c r="K18" s="175">
        <f>COUNTIF('고천리 (2)'!$P$3:$P$1013,S18)</f>
        <v>0</v>
      </c>
      <c r="L18" s="76" t="s">
        <v>5</v>
      </c>
      <c r="M18" s="176">
        <f>SUMIF('고천리 (2)'!$P$3:$P$1013,S18,'고천리 (2)'!$E$3:$E$1013)</f>
        <v>0</v>
      </c>
      <c r="N18" s="166"/>
      <c r="O18" s="74" t="str">
        <f t="shared" si="0"/>
        <v>ok</v>
      </c>
      <c r="P18" s="74" t="s">
        <v>87</v>
      </c>
      <c r="Q18" s="183" t="str">
        <f t="shared" si="2"/>
        <v>학국</v>
      </c>
      <c r="R18" s="183" t="str">
        <f t="shared" si="1"/>
        <v>학공</v>
      </c>
      <c r="S18" s="183" t="str">
        <f t="shared" si="1"/>
        <v>학사</v>
      </c>
    </row>
    <row r="19" spans="1:19" s="143" customFormat="1" ht="23.1" customHeight="1">
      <c r="A19" s="180" t="s">
        <v>41</v>
      </c>
      <c r="B19" s="175">
        <f>COUNTIF('고천리 (2)'!$C$3:$C$1013,P19)</f>
        <v>0</v>
      </c>
      <c r="C19" s="76" t="s">
        <v>5</v>
      </c>
      <c r="D19" s="176">
        <f>SUMIF('고천리 (2)'!$C$3:$C$1013,P19,'고천리 (2)'!$E$3:$E$1013)</f>
        <v>0</v>
      </c>
      <c r="E19" s="175">
        <f>COUNTIF('고천리 (2)'!$P$3:$P$1013,"철국")</f>
        <v>0</v>
      </c>
      <c r="F19" s="76" t="s">
        <v>5</v>
      </c>
      <c r="G19" s="176">
        <f>SUMIF('고천리 (2)'!$P$3:$P$1013,Q19,'고천리 (2)'!$E$3:$E$1013)</f>
        <v>0</v>
      </c>
      <c r="H19" s="175">
        <f>COUNTIF('고천리 (2)'!$P$3:$P$1013,R19)</f>
        <v>0</v>
      </c>
      <c r="I19" s="76" t="s">
        <v>5</v>
      </c>
      <c r="J19" s="176">
        <f>SUMIF('고천리 (2)'!$P$3:$P$1013,R19,'고천리 (2)'!$E$3:$E$1013)</f>
        <v>0</v>
      </c>
      <c r="K19" s="175">
        <f>COUNTIF('고천리 (2)'!$P$3:$P$1013,S19)</f>
        <v>0</v>
      </c>
      <c r="L19" s="76" t="s">
        <v>5</v>
      </c>
      <c r="M19" s="176">
        <f>SUMIF('고천리 (2)'!$P$3:$P$1013,S19,'고천리 (2)'!$E$3:$E$1013)</f>
        <v>0</v>
      </c>
      <c r="N19" s="166"/>
      <c r="O19" s="74" t="str">
        <f t="shared" si="0"/>
        <v>ok</v>
      </c>
      <c r="P19" s="74" t="s">
        <v>88</v>
      </c>
      <c r="Q19" s="183" t="str">
        <f t="shared" si="2"/>
        <v>철국</v>
      </c>
      <c r="R19" s="183" t="str">
        <f t="shared" si="1"/>
        <v>철공</v>
      </c>
      <c r="S19" s="183" t="str">
        <f t="shared" si="1"/>
        <v>철사</v>
      </c>
    </row>
    <row r="20" spans="1:19" s="143" customFormat="1" ht="23.1" customHeight="1">
      <c r="A20" s="180" t="s">
        <v>17</v>
      </c>
      <c r="B20" s="175">
        <f>COUNTIF('고천리 (2)'!$C$3:$C$1013,P20)</f>
        <v>0</v>
      </c>
      <c r="C20" s="76" t="s">
        <v>5</v>
      </c>
      <c r="D20" s="176">
        <f>SUMIF('고천리 (2)'!$C$3:$C$1013,P20,'고천리 (2)'!$E$3:$E$1013)</f>
        <v>0</v>
      </c>
      <c r="E20" s="175">
        <f>COUNTIF('고천리 (2)'!$P$3:$P$1013,"묘국")</f>
        <v>0</v>
      </c>
      <c r="F20" s="76" t="s">
        <v>5</v>
      </c>
      <c r="G20" s="176">
        <f>SUMIF('고천리 (2)'!$P$3:$P$1013,Q20,'고천리 (2)'!$E$3:$E$1013)</f>
        <v>0</v>
      </c>
      <c r="H20" s="175">
        <f>COUNTIF('고천리 (2)'!$P$3:$P$1013,R20)</f>
        <v>0</v>
      </c>
      <c r="I20" s="76" t="s">
        <v>5</v>
      </c>
      <c r="J20" s="176">
        <f>SUMIF('고천리 (2)'!$P$3:$P$1013,R20,'고천리 (2)'!$E$3:$E$1013)</f>
        <v>0</v>
      </c>
      <c r="K20" s="175">
        <f>COUNTIF('고천리 (2)'!$P$3:$P$1013,S20)</f>
        <v>0</v>
      </c>
      <c r="L20" s="76" t="s">
        <v>5</v>
      </c>
      <c r="M20" s="176">
        <f>SUMIF('고천리 (2)'!$P$3:$P$1013,S20,'고천리 (2)'!$E$3:$E$1013)</f>
        <v>0</v>
      </c>
      <c r="N20" s="166"/>
      <c r="O20" s="74" t="str">
        <f t="shared" si="0"/>
        <v>ok</v>
      </c>
      <c r="P20" s="74" t="s">
        <v>68</v>
      </c>
      <c r="Q20" s="183" t="str">
        <f t="shared" si="2"/>
        <v>묘국</v>
      </c>
      <c r="R20" s="183" t="str">
        <f t="shared" si="1"/>
        <v>묘공</v>
      </c>
      <c r="S20" s="183" t="str">
        <f t="shared" si="1"/>
        <v>묘사</v>
      </c>
    </row>
    <row r="21" spans="1:19" s="143" customFormat="1" ht="23.1" customHeight="1">
      <c r="A21" s="180" t="s">
        <v>20</v>
      </c>
      <c r="B21" s="175">
        <f>COUNTIF('고천리 (2)'!$C$3:$C$1013,P21)</f>
        <v>0</v>
      </c>
      <c r="C21" s="76" t="s">
        <v>5</v>
      </c>
      <c r="D21" s="176">
        <f>SUMIF('고천리 (2)'!$C$3:$C$1013,P21,'고천리 (2)'!$E$3:$E$1013)</f>
        <v>0</v>
      </c>
      <c r="E21" s="175">
        <f>COUNTIF('고천리 (2)'!$P$3:$P$1013,"수국")</f>
        <v>0</v>
      </c>
      <c r="F21" s="76" t="s">
        <v>5</v>
      </c>
      <c r="G21" s="176">
        <f>SUMIF('고천리 (2)'!$P$3:$P$1013,Q21,'고천리 (2)'!$E$3:$E$1013)</f>
        <v>0</v>
      </c>
      <c r="H21" s="175">
        <f>COUNTIF('고천리 (2)'!$P$3:$P$1013,R21)</f>
        <v>0</v>
      </c>
      <c r="I21" s="76" t="s">
        <v>5</v>
      </c>
      <c r="J21" s="176">
        <f>SUMIF('고천리 (2)'!$P$3:$P$1013,R21,'고천리 (2)'!$E$3:$E$1013)</f>
        <v>0</v>
      </c>
      <c r="K21" s="175">
        <f>COUNTIF('고천리 (2)'!$P$3:$P$1013,S21)</f>
        <v>0</v>
      </c>
      <c r="L21" s="76" t="s">
        <v>5</v>
      </c>
      <c r="M21" s="176">
        <f>SUMIF('고천리 (2)'!$P$3:$P$1013,S21,'고천리 (2)'!$E$3:$E$1013)</f>
        <v>0</v>
      </c>
      <c r="N21" s="166"/>
      <c r="O21" s="74" t="str">
        <f t="shared" si="0"/>
        <v>ok</v>
      </c>
      <c r="P21" s="74" t="s">
        <v>89</v>
      </c>
      <c r="Q21" s="183" t="str">
        <f t="shared" si="2"/>
        <v>수국</v>
      </c>
      <c r="R21" s="183" t="str">
        <f t="shared" si="1"/>
        <v>수공</v>
      </c>
      <c r="S21" s="183" t="str">
        <f t="shared" si="1"/>
        <v>수사</v>
      </c>
    </row>
    <row r="22" spans="1:19" s="143" customFormat="1" ht="23.1" customHeight="1">
      <c r="A22" s="180" t="s">
        <v>19</v>
      </c>
      <c r="B22" s="175">
        <f>COUNTIF('고천리 (2)'!$C$3:$C$1013,P22)</f>
        <v>0</v>
      </c>
      <c r="C22" s="76" t="s">
        <v>5</v>
      </c>
      <c r="D22" s="176">
        <f>SUMIF('고천리 (2)'!$C$3:$C$1013,P22,'고천리 (2)'!$E$3:$E$1013)</f>
        <v>0</v>
      </c>
      <c r="E22" s="175">
        <f>COUNTIF('고천리 (2)'!$P$3:$P$1013,"잡국")</f>
        <v>0</v>
      </c>
      <c r="F22" s="76" t="s">
        <v>5</v>
      </c>
      <c r="G22" s="176">
        <f>SUMIF('고천리 (2)'!$P$3:$P$1013,Q22,'고천리 (2)'!$E$3:$E$1013)</f>
        <v>0</v>
      </c>
      <c r="H22" s="175">
        <f>COUNTIF('고천리 (2)'!$P$3:$P$1013,R22)</f>
        <v>0</v>
      </c>
      <c r="I22" s="76" t="s">
        <v>5</v>
      </c>
      <c r="J22" s="176">
        <f>SUMIF('고천리 (2)'!$P$3:$P$1013,R22,'고천리 (2)'!$E$3:$E$1013)</f>
        <v>0</v>
      </c>
      <c r="K22" s="175">
        <f>COUNTIF('고천리 (2)'!$P$3:$P$1013,S22)</f>
        <v>0</v>
      </c>
      <c r="L22" s="76" t="s">
        <v>5</v>
      </c>
      <c r="M22" s="176">
        <f>SUMIF('고천리 (2)'!$P$3:$P$1013,S22,'고천리 (2)'!$E$3:$E$1013)</f>
        <v>0</v>
      </c>
      <c r="N22" s="166"/>
      <c r="O22" s="74" t="str">
        <f t="shared" si="0"/>
        <v>ok</v>
      </c>
      <c r="P22" s="74" t="s">
        <v>90</v>
      </c>
      <c r="Q22" s="183" t="str">
        <f t="shared" si="2"/>
        <v>잡국</v>
      </c>
      <c r="R22" s="183" t="str">
        <f t="shared" si="2"/>
        <v>잡공</v>
      </c>
      <c r="S22" s="183" t="str">
        <f t="shared" si="2"/>
        <v>잡사</v>
      </c>
    </row>
    <row r="23" spans="1:19" s="143" customFormat="1" ht="23.1" customHeight="1">
      <c r="A23" s="180" t="s">
        <v>42</v>
      </c>
      <c r="B23" s="175">
        <f>COUNTIF('고천리 (2)'!$C$3:$C$1013,P23)</f>
        <v>0</v>
      </c>
      <c r="C23" s="76" t="s">
        <v>5</v>
      </c>
      <c r="D23" s="176">
        <f>SUMIF('고천리 (2)'!$C$3:$C$1013,P23,'고천리 (2)'!$E$3:$E$1013)</f>
        <v>0</v>
      </c>
      <c r="E23" s="175">
        <f>COUNTIF('고천리 (2)'!$P$3:$P$1013,"종국")</f>
        <v>0</v>
      </c>
      <c r="F23" s="76" t="s">
        <v>5</v>
      </c>
      <c r="G23" s="176">
        <f>SUMIF('고천리 (2)'!$P$3:$P$1013,Q23,'고천리 (2)'!$E$3:$E$1013)</f>
        <v>0</v>
      </c>
      <c r="H23" s="175">
        <f>COUNTIF('고천리 (2)'!$P$3:$P$1013,R23)</f>
        <v>0</v>
      </c>
      <c r="I23" s="76" t="s">
        <v>5</v>
      </c>
      <c r="J23" s="176">
        <f>SUMIF('고천리 (2)'!$P$3:$P$1013,R23,'고천리 (2)'!$E$3:$E$1013)</f>
        <v>0</v>
      </c>
      <c r="K23" s="175">
        <f>COUNTIF('고천리 (2)'!$P$3:$P$1013,S23)</f>
        <v>0</v>
      </c>
      <c r="L23" s="76" t="s">
        <v>5</v>
      </c>
      <c r="M23" s="176">
        <f>SUMIF('고천리 (2)'!$P$3:$P$1013,S23,'고천리 (2)'!$E$3:$E$1013)</f>
        <v>0</v>
      </c>
      <c r="N23" s="166"/>
      <c r="O23" s="74" t="str">
        <f t="shared" si="0"/>
        <v>ok</v>
      </c>
      <c r="P23" s="74" t="s">
        <v>91</v>
      </c>
      <c r="Q23" s="183" t="str">
        <f t="shared" si="2"/>
        <v>종국</v>
      </c>
      <c r="R23" s="183" t="str">
        <f t="shared" si="2"/>
        <v>종공</v>
      </c>
      <c r="S23" s="183" t="str">
        <f t="shared" si="2"/>
        <v>종사</v>
      </c>
    </row>
    <row r="24" spans="1:19" s="143" customFormat="1" ht="23.1" customHeight="1">
      <c r="A24" s="180" t="s">
        <v>43</v>
      </c>
      <c r="B24" s="175">
        <f>COUNTIF('고천리 (2)'!$C$3:$C$1013,P24)</f>
        <v>0</v>
      </c>
      <c r="C24" s="76" t="s">
        <v>5</v>
      </c>
      <c r="D24" s="176">
        <f>SUMIF('고천리 (2)'!$C$3:$C$1013,P24,'고천리 (2)'!$E$3:$E$1013)</f>
        <v>0</v>
      </c>
      <c r="E24" s="175">
        <f>COUNTIF('고천리 (2)'!$P$3:$P$1013,"염국")</f>
        <v>0</v>
      </c>
      <c r="F24" s="76" t="s">
        <v>5</v>
      </c>
      <c r="G24" s="176">
        <f>SUMIF('고천리 (2)'!$P$3:$P$1013,Q24,'고천리 (2)'!$E$3:$E$1013)</f>
        <v>0</v>
      </c>
      <c r="H24" s="175">
        <f>COUNTIF('고천리 (2)'!$P$3:$P$1013,R24)</f>
        <v>0</v>
      </c>
      <c r="I24" s="76" t="s">
        <v>5</v>
      </c>
      <c r="J24" s="176">
        <f>SUMIF('고천리 (2)'!$P$3:$P$1013,R24,'고천리 (2)'!$E$3:$E$1013)</f>
        <v>0</v>
      </c>
      <c r="K24" s="175">
        <f>COUNTIF('고천리 (2)'!$P$3:$P$1013,S24)</f>
        <v>0</v>
      </c>
      <c r="L24" s="76" t="s">
        <v>5</v>
      </c>
      <c r="M24" s="176">
        <f>SUMIF('고천리 (2)'!$P$3:$P$1013,S24,'고천리 (2)'!$E$3:$E$1013)</f>
        <v>0</v>
      </c>
      <c r="N24" s="166"/>
      <c r="O24" s="74" t="str">
        <f t="shared" si="0"/>
        <v>ok</v>
      </c>
      <c r="P24" s="74" t="s">
        <v>92</v>
      </c>
      <c r="Q24" s="183" t="str">
        <f t="shared" si="2"/>
        <v>염국</v>
      </c>
      <c r="R24" s="183" t="str">
        <f t="shared" si="2"/>
        <v>염공</v>
      </c>
      <c r="S24" s="183" t="str">
        <f t="shared" si="2"/>
        <v>염사</v>
      </c>
    </row>
    <row r="25" spans="1:19" s="143" customFormat="1" ht="23.1" customHeight="1">
      <c r="A25" s="180" t="s">
        <v>44</v>
      </c>
      <c r="B25" s="175">
        <f>COUNTIF('고천리 (2)'!$C$3:$C$1013,P25)</f>
        <v>0</v>
      </c>
      <c r="C25" s="76" t="s">
        <v>5</v>
      </c>
      <c r="D25" s="176">
        <f>SUMIF('고천리 (2)'!$C$3:$C$1013,P25,'고천리 (2)'!$E$3:$E$1013)</f>
        <v>0</v>
      </c>
      <c r="E25" s="175">
        <f>COUNTIF('고천리 (2)'!$P$3:$P$1013,"공국")</f>
        <v>0</v>
      </c>
      <c r="F25" s="76" t="s">
        <v>5</v>
      </c>
      <c r="G25" s="176">
        <f>SUMIF('고천리 (2)'!$P$3:$P$1013,Q25,'고천리 (2)'!$E$3:$E$1013)</f>
        <v>0</v>
      </c>
      <c r="H25" s="175">
        <f>COUNTIF('고천리 (2)'!$P$3:$P$1013,R25)</f>
        <v>0</v>
      </c>
      <c r="I25" s="76" t="s">
        <v>5</v>
      </c>
      <c r="J25" s="176">
        <f>SUMIF('고천리 (2)'!$P$3:$P$1013,R25,'고천리 (2)'!$E$3:$E$1013)</f>
        <v>0</v>
      </c>
      <c r="K25" s="175">
        <f>COUNTIF('고천리 (2)'!$P$3:$P$1013,S25)</f>
        <v>0</v>
      </c>
      <c r="L25" s="76" t="s">
        <v>5</v>
      </c>
      <c r="M25" s="176">
        <f>SUMIF('고천리 (2)'!$P$3:$P$1013,S25,'고천리 (2)'!$E$3:$E$1013)</f>
        <v>0</v>
      </c>
      <c r="N25" s="166"/>
      <c r="O25" s="74" t="str">
        <f t="shared" si="0"/>
        <v>ok</v>
      </c>
      <c r="P25" s="74" t="s">
        <v>71</v>
      </c>
      <c r="Q25" s="183" t="str">
        <f t="shared" si="2"/>
        <v>공국</v>
      </c>
      <c r="R25" s="183" t="str">
        <f t="shared" si="2"/>
        <v>공공</v>
      </c>
      <c r="S25" s="183" t="str">
        <f t="shared" si="2"/>
        <v>공사</v>
      </c>
    </row>
    <row r="26" spans="1:19" s="143" customFormat="1" ht="23.1" customHeight="1">
      <c r="A26" s="180" t="s">
        <v>45</v>
      </c>
      <c r="B26" s="175">
        <f>COUNTIF('고천리 (2)'!$C$3:$C$1013,P26)</f>
        <v>0</v>
      </c>
      <c r="C26" s="76" t="s">
        <v>5</v>
      </c>
      <c r="D26" s="176">
        <f>SUMIF('고천리 (2)'!$C$3:$C$1013,P26,'고천리 (2)'!$E$3:$E$1013)</f>
        <v>0</v>
      </c>
      <c r="E26" s="175">
        <f>COUNTIF('고천리 (2)'!$P$3:$P$1013,"체국")</f>
        <v>0</v>
      </c>
      <c r="F26" s="76" t="s">
        <v>5</v>
      </c>
      <c r="G26" s="176">
        <f>SUMIF('고천리 (2)'!$P$3:$P$1013,Q26,'고천리 (2)'!$E$3:$E$1013)</f>
        <v>0</v>
      </c>
      <c r="H26" s="175">
        <f>COUNTIF('고천리 (2)'!$P$3:$P$1013,R26)</f>
        <v>0</v>
      </c>
      <c r="I26" s="76" t="s">
        <v>5</v>
      </c>
      <c r="J26" s="176">
        <f>SUMIF('고천리 (2)'!$P$3:$P$1013,R26,'고천리 (2)'!$E$3:$E$1013)</f>
        <v>0</v>
      </c>
      <c r="K26" s="175">
        <f>COUNTIF('고천리 (2)'!$P$3:$P$1013,S26)</f>
        <v>0</v>
      </c>
      <c r="L26" s="76" t="s">
        <v>5</v>
      </c>
      <c r="M26" s="176">
        <f>SUMIF('고천리 (2)'!$P$3:$P$1013,S26,'고천리 (2)'!$E$3:$E$1013)</f>
        <v>0</v>
      </c>
      <c r="N26" s="166"/>
      <c r="O26" s="74" t="str">
        <f t="shared" si="0"/>
        <v>ok</v>
      </c>
      <c r="P26" s="74" t="s">
        <v>93</v>
      </c>
      <c r="Q26" s="183" t="str">
        <f t="shared" si="2"/>
        <v>체국</v>
      </c>
      <c r="R26" s="183" t="str">
        <f t="shared" si="2"/>
        <v>체공</v>
      </c>
      <c r="S26" s="183" t="str">
        <f t="shared" si="2"/>
        <v>체사</v>
      </c>
    </row>
    <row r="27" spans="1:19" s="143" customFormat="1" ht="23.1" customHeight="1">
      <c r="A27" s="180" t="s">
        <v>60</v>
      </c>
      <c r="B27" s="175">
        <f>COUNTIF('고천리 (2)'!$C$3:$C$1013,P27)</f>
        <v>0</v>
      </c>
      <c r="C27" s="76" t="s">
        <v>5</v>
      </c>
      <c r="D27" s="176">
        <f>SUMIF('고천리 (2)'!$C$3:$C$1013,P27,'고천리 (2)'!$E$3:$E$1013)</f>
        <v>0</v>
      </c>
      <c r="E27" s="175">
        <f>COUNTIF('고천리 (2)'!$P$3:$P$1013,"차국")</f>
        <v>0</v>
      </c>
      <c r="F27" s="76" t="s">
        <v>5</v>
      </c>
      <c r="G27" s="176">
        <f>SUMIF('고천리 (2)'!$P$3:$P$1013,Q27,'고천리 (2)'!$E$3:$E$1013)</f>
        <v>0</v>
      </c>
      <c r="H27" s="175">
        <f>COUNTIF('고천리 (2)'!$P$3:$P$1013,R27)</f>
        <v>0</v>
      </c>
      <c r="I27" s="76" t="s">
        <v>5</v>
      </c>
      <c r="J27" s="176">
        <f>SUMIF('고천리 (2)'!$P$3:$P$1013,R27,'고천리 (2)'!$E$3:$E$1013)</f>
        <v>0</v>
      </c>
      <c r="K27" s="175">
        <f>COUNTIF('고천리 (2)'!$P$3:$P$1013,S27)</f>
        <v>0</v>
      </c>
      <c r="L27" s="76" t="s">
        <v>5</v>
      </c>
      <c r="M27" s="176">
        <f>SUMIF('고천리 (2)'!$P$3:$P$1013,S27,'고천리 (2)'!$E$3:$E$1013)</f>
        <v>0</v>
      </c>
      <c r="N27" s="166"/>
      <c r="O27" s="74" t="str">
        <f t="shared" si="0"/>
        <v>ok</v>
      </c>
      <c r="P27" s="74" t="s">
        <v>96</v>
      </c>
      <c r="Q27" s="183" t="str">
        <f t="shared" si="2"/>
        <v>차국</v>
      </c>
      <c r="R27" s="183" t="str">
        <f t="shared" si="2"/>
        <v>차공</v>
      </c>
      <c r="S27" s="183" t="str">
        <f t="shared" si="2"/>
        <v>차사</v>
      </c>
    </row>
    <row r="28" spans="1:19" s="143" customFormat="1" ht="23.1" customHeight="1">
      <c r="A28" s="180" t="s">
        <v>56</v>
      </c>
      <c r="B28" s="175">
        <f>COUNTIF('고천리 (2)'!$C$3:$C$1013,P28)</f>
        <v>0</v>
      </c>
      <c r="C28" s="76" t="s">
        <v>5</v>
      </c>
      <c r="D28" s="176">
        <f>SUMIF('고천리 (2)'!$C$3:$C$1013,P28,'고천리 (2)'!$E$3:$E$1013)</f>
        <v>0</v>
      </c>
      <c r="E28" s="175">
        <f>COUNTIF('고천리 (2)'!$P$3:$P$1013,"주국")</f>
        <v>0</v>
      </c>
      <c r="F28" s="76" t="s">
        <v>5</v>
      </c>
      <c r="G28" s="176">
        <f>SUMIF('고천리 (2)'!$P$3:$P$1013,Q28,'고천리 (2)'!$E$3:$E$1013)</f>
        <v>0</v>
      </c>
      <c r="H28" s="175">
        <f>COUNTIF('고천리 (2)'!$P$3:$P$1013,R28)</f>
        <v>0</v>
      </c>
      <c r="I28" s="76" t="s">
        <v>5</v>
      </c>
      <c r="J28" s="176">
        <f>SUMIF('고천리 (2)'!$P$3:$P$1013,R28,'고천리 (2)'!$E$3:$E$1013)</f>
        <v>0</v>
      </c>
      <c r="K28" s="175">
        <f>COUNTIF('고천리 (2)'!$P$3:$P$1013,S28)</f>
        <v>0</v>
      </c>
      <c r="L28" s="76" t="s">
        <v>5</v>
      </c>
      <c r="M28" s="176">
        <f>SUMIF('고천리 (2)'!$P$3:$P$1013,S28,'고천리 (2)'!$E$3:$E$1013)</f>
        <v>0</v>
      </c>
      <c r="N28" s="166"/>
      <c r="O28" s="74" t="str">
        <f t="shared" si="0"/>
        <v>ok</v>
      </c>
      <c r="P28" s="74" t="s">
        <v>94</v>
      </c>
      <c r="Q28" s="183" t="str">
        <f t="shared" si="2"/>
        <v>주국</v>
      </c>
      <c r="R28" s="183" t="str">
        <f t="shared" si="2"/>
        <v>주공</v>
      </c>
      <c r="S28" s="183" t="str">
        <f t="shared" si="2"/>
        <v>주사</v>
      </c>
    </row>
    <row r="29" spans="1:19" s="143" customFormat="1" ht="23.1" customHeight="1">
      <c r="A29" s="180" t="s">
        <v>57</v>
      </c>
      <c r="B29" s="175">
        <f>COUNTIF('고천리 (2)'!$C$3:$C$1013,P29)</f>
        <v>0</v>
      </c>
      <c r="C29" s="76" t="s">
        <v>5</v>
      </c>
      <c r="D29" s="176">
        <f>SUMIF('고천리 (2)'!$C$3:$C$1013,P29,'고천리 (2)'!$E$3:$E$1013)</f>
        <v>0</v>
      </c>
      <c r="E29" s="175">
        <f>COUNTIF('고천리 (2)'!$P$3:$P$1013,"창국")</f>
        <v>0</v>
      </c>
      <c r="F29" s="76" t="s">
        <v>5</v>
      </c>
      <c r="G29" s="176">
        <f>SUMIF('고천리 (2)'!$P$3:$P$1013,Q29,'고천리 (2)'!$E$3:$E$1013)</f>
        <v>0</v>
      </c>
      <c r="H29" s="175">
        <f>COUNTIF('고천리 (2)'!$P$3:$P$1013,R29)</f>
        <v>0</v>
      </c>
      <c r="I29" s="76" t="s">
        <v>5</v>
      </c>
      <c r="J29" s="176">
        <f>SUMIF('고천리 (2)'!$P$3:$P$1013,R29,'고천리 (2)'!$E$3:$E$1013)</f>
        <v>0</v>
      </c>
      <c r="K29" s="175">
        <f>COUNTIF('고천리 (2)'!$P$3:$P$1013,S29)</f>
        <v>0</v>
      </c>
      <c r="L29" s="76" t="s">
        <v>5</v>
      </c>
      <c r="M29" s="176">
        <f>SUMIF('고천리 (2)'!$P$3:$P$1013,S29,'고천리 (2)'!$E$3:$E$1013)</f>
        <v>0</v>
      </c>
      <c r="N29" s="166"/>
      <c r="O29" s="74" t="str">
        <f t="shared" si="0"/>
        <v>ok</v>
      </c>
      <c r="P29" s="74" t="s">
        <v>95</v>
      </c>
      <c r="Q29" s="183" t="str">
        <f t="shared" si="2"/>
        <v>창국</v>
      </c>
      <c r="R29" s="183" t="str">
        <f t="shared" si="2"/>
        <v>창공</v>
      </c>
      <c r="S29" s="183" t="str">
        <f t="shared" si="2"/>
        <v>창사</v>
      </c>
    </row>
    <row r="30" spans="1:19" s="143" customFormat="1" ht="23.1" customHeight="1">
      <c r="A30" s="182" t="s">
        <v>24</v>
      </c>
      <c r="B30" s="177">
        <f>COUNTIF('고천리 (2)'!$C$3:$C$1013,P30)</f>
        <v>0</v>
      </c>
      <c r="C30" s="81" t="s">
        <v>5</v>
      </c>
      <c r="D30" s="178">
        <f>SUMIF('고천리 (2)'!$C$3:$C$1013,P30,'고천리 (2)'!$E$3:$E$1013)</f>
        <v>0</v>
      </c>
      <c r="E30" s="177">
        <f>COUNTIF('고천리 (2)'!$P$3:$P$1013,"가국")</f>
        <v>0</v>
      </c>
      <c r="F30" s="81" t="s">
        <v>5</v>
      </c>
      <c r="G30" s="178">
        <f>SUMIF('고천리 (2)'!$P$3:$P$1013,Q30,'고천리 (2)'!$E$3:$E$1013)</f>
        <v>0</v>
      </c>
      <c r="H30" s="177">
        <f>COUNTIF('고천리 (2)'!$P$3:$P$1013,R30)</f>
        <v>0</v>
      </c>
      <c r="I30" s="81" t="s">
        <v>5</v>
      </c>
      <c r="J30" s="178">
        <f>SUMIF('고천리 (2)'!$P$3:$P$1013,R30,'고천리 (2)'!$E$3:$E$1013)</f>
        <v>0</v>
      </c>
      <c r="K30" s="177">
        <f>COUNTIF('고천리 (2)'!$P$3:$P$1013,S30)</f>
        <v>0</v>
      </c>
      <c r="L30" s="81" t="s">
        <v>5</v>
      </c>
      <c r="M30" s="178">
        <f>SUMIF('고천리 (2)'!$P$3:$P$1013,S30,'고천리 (2)'!$E$3:$E$1013)</f>
        <v>0</v>
      </c>
      <c r="N30" s="167"/>
      <c r="O30" s="74" t="str">
        <f t="shared" si="0"/>
        <v>ok</v>
      </c>
      <c r="P30" s="74" t="s">
        <v>97</v>
      </c>
      <c r="Q30" s="183" t="str">
        <f t="shared" si="2"/>
        <v>가국</v>
      </c>
      <c r="R30" s="183" t="str">
        <f t="shared" si="2"/>
        <v>가공</v>
      </c>
      <c r="S30" s="183" t="str">
        <f t="shared" si="2"/>
        <v>가사</v>
      </c>
    </row>
  </sheetData>
  <mergeCells count="2">
    <mergeCell ref="A3:A4"/>
    <mergeCell ref="N3:N4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43"/>
  <sheetViews>
    <sheetView showGridLines="0" showZeros="0" view="pageBreakPreview" zoomScaleSheetLayoutView="100" workbookViewId="0">
      <pane xSplit="2" ySplit="2" topLeftCell="C57" activePane="bottomRight" state="frozen"/>
      <selection sqref="A1:A2"/>
      <selection pane="topRight" sqref="A1:A2"/>
      <selection pane="bottomLeft" sqref="A1:A2"/>
      <selection pane="bottomRight" sqref="A1:A2"/>
    </sheetView>
  </sheetViews>
  <sheetFormatPr defaultRowHeight="11.25"/>
  <cols>
    <col min="1" max="1" width="3.77734375" style="113" customWidth="1"/>
    <col min="2" max="2" width="6.44140625" style="121" customWidth="1"/>
    <col min="3" max="3" width="3.77734375" style="113" customWidth="1"/>
    <col min="4" max="4" width="7.77734375" style="113" customWidth="1"/>
    <col min="5" max="5" width="7.77734375" style="122" customWidth="1"/>
    <col min="6" max="6" width="3.77734375" style="113" hidden="1" customWidth="1"/>
    <col min="7" max="7" width="5.6640625" style="113" hidden="1" customWidth="1"/>
    <col min="8" max="8" width="6.77734375" style="113" customWidth="1"/>
    <col min="9" max="9" width="15.77734375" style="113" customWidth="1"/>
    <col min="10" max="10" width="6.77734375" style="152" customWidth="1"/>
    <col min="11" max="11" width="13.77734375" style="113" customWidth="1"/>
    <col min="12" max="12" width="5.77734375" style="113" customWidth="1"/>
    <col min="13" max="13" width="4.77734375" style="113" customWidth="1"/>
    <col min="14" max="15" width="8.77734375" style="113" customWidth="1"/>
    <col min="16" max="16" width="10.77734375" style="123" customWidth="1"/>
    <col min="17" max="17" width="9.77734375" style="113" customWidth="1"/>
    <col min="18" max="24" width="11.77734375" style="113" customWidth="1"/>
    <col min="25" max="25" width="9.77734375" style="113" customWidth="1"/>
    <col min="26" max="16384" width="8.88671875" style="113"/>
  </cols>
  <sheetData>
    <row r="1" spans="1:24" ht="24.95" customHeight="1">
      <c r="A1" s="494" t="s">
        <v>99</v>
      </c>
      <c r="B1" s="496" t="s">
        <v>72</v>
      </c>
      <c r="C1" s="498" t="s">
        <v>28</v>
      </c>
      <c r="D1" s="498" t="s">
        <v>100</v>
      </c>
      <c r="E1" s="498" t="s">
        <v>101</v>
      </c>
      <c r="F1" s="214" t="s">
        <v>31</v>
      </c>
      <c r="G1" s="214"/>
      <c r="H1" s="214" t="s">
        <v>73</v>
      </c>
      <c r="I1" s="214"/>
      <c r="J1" s="214" t="s">
        <v>76</v>
      </c>
      <c r="K1" s="214"/>
      <c r="L1" s="214"/>
      <c r="M1" s="492" t="s">
        <v>22</v>
      </c>
      <c r="N1" s="185"/>
      <c r="O1" s="185"/>
      <c r="P1" s="116"/>
      <c r="Q1" s="117"/>
    </row>
    <row r="2" spans="1:24" ht="24.95" customHeight="1">
      <c r="A2" s="495"/>
      <c r="B2" s="497"/>
      <c r="C2" s="499"/>
      <c r="D2" s="499"/>
      <c r="E2" s="499"/>
      <c r="F2" s="220" t="s">
        <v>28</v>
      </c>
      <c r="G2" s="220" t="s">
        <v>35</v>
      </c>
      <c r="H2" s="221" t="s">
        <v>74</v>
      </c>
      <c r="I2" s="221" t="s">
        <v>75</v>
      </c>
      <c r="J2" s="221" t="s">
        <v>74</v>
      </c>
      <c r="K2" s="221" t="s">
        <v>75</v>
      </c>
      <c r="L2" s="221" t="s">
        <v>38</v>
      </c>
      <c r="M2" s="493"/>
      <c r="N2" s="186"/>
      <c r="O2" s="186"/>
      <c r="P2" s="118"/>
      <c r="Q2" s="119"/>
      <c r="R2" s="119" t="s">
        <v>112</v>
      </c>
      <c r="S2" s="119" t="s">
        <v>113</v>
      </c>
      <c r="T2" s="119" t="s">
        <v>114</v>
      </c>
      <c r="U2" s="319" t="s">
        <v>115</v>
      </c>
      <c r="V2" s="320">
        <v>2</v>
      </c>
      <c r="W2" s="320">
        <v>3</v>
      </c>
      <c r="X2" s="320">
        <v>4</v>
      </c>
    </row>
    <row r="3" spans="1:24" s="158" customFormat="1" ht="24.95" customHeight="1">
      <c r="A3" s="215">
        <v>1</v>
      </c>
      <c r="B3" s="222" t="s">
        <v>172</v>
      </c>
      <c r="C3" s="223" t="s">
        <v>173</v>
      </c>
      <c r="D3" s="317"/>
      <c r="E3" s="318">
        <v>46</v>
      </c>
      <c r="F3" s="216"/>
      <c r="G3" s="216"/>
      <c r="H3" s="225" t="s">
        <v>204</v>
      </c>
      <c r="I3" s="243"/>
      <c r="J3" s="217"/>
      <c r="K3" s="218"/>
      <c r="L3" s="218"/>
      <c r="M3" s="219"/>
      <c r="N3" s="187">
        <v>3</v>
      </c>
      <c r="O3" s="187" t="str">
        <f t="shared" ref="O3:O29" si="0">IF(N3=1,"국",IF(N3=2,"공","사"))</f>
        <v>사</v>
      </c>
      <c r="P3" s="156" t="str">
        <f t="shared" ref="P3:P29" si="1">CONCATENATE(C3,O3)</f>
        <v>임사</v>
      </c>
      <c r="Q3" s="157"/>
      <c r="R3" s="321">
        <v>8440</v>
      </c>
      <c r="S3" s="321">
        <f>IF(N3=3,R3,)</f>
        <v>8440</v>
      </c>
      <c r="T3" s="321">
        <f>IF(OR(N3=1,N3=2),R3,)</f>
        <v>0</v>
      </c>
      <c r="U3" s="321">
        <f>S3*E3</f>
        <v>388240</v>
      </c>
      <c r="V3" s="322">
        <f>ROUND($U3*V$2,0)</f>
        <v>776480</v>
      </c>
      <c r="W3" s="322">
        <f t="shared" ref="W3:X29" si="2">ROUND($U3*W$2,0)</f>
        <v>1164720</v>
      </c>
      <c r="X3" s="322">
        <f t="shared" si="2"/>
        <v>1552960</v>
      </c>
    </row>
    <row r="4" spans="1:24" s="158" customFormat="1" ht="24.95" customHeight="1">
      <c r="A4" s="215">
        <f>A3+1</f>
        <v>2</v>
      </c>
      <c r="B4" s="222" t="s">
        <v>174</v>
      </c>
      <c r="C4" s="223" t="s">
        <v>176</v>
      </c>
      <c r="D4" s="317"/>
      <c r="E4" s="318">
        <v>188</v>
      </c>
      <c r="F4" s="216"/>
      <c r="G4" s="216"/>
      <c r="H4" s="225" t="s">
        <v>205</v>
      </c>
      <c r="I4" s="243"/>
      <c r="J4" s="217"/>
      <c r="K4" s="218"/>
      <c r="L4" s="218"/>
      <c r="M4" s="219"/>
      <c r="N4" s="187">
        <v>2</v>
      </c>
      <c r="O4" s="187" t="str">
        <f t="shared" si="0"/>
        <v>공</v>
      </c>
      <c r="P4" s="156" t="str">
        <f t="shared" si="1"/>
        <v>도공</v>
      </c>
      <c r="Q4" s="157"/>
      <c r="R4" s="321">
        <v>2400</v>
      </c>
      <c r="S4" s="321">
        <f t="shared" ref="S4:S5" si="3">IF(N4=3,R4,)</f>
        <v>0</v>
      </c>
      <c r="T4" s="321">
        <f t="shared" ref="T4:T5" si="4">IF(OR(N4=1,N4=2),R4,)</f>
        <v>2400</v>
      </c>
      <c r="U4" s="321">
        <f t="shared" ref="U4:U5" si="5">S4*E4</f>
        <v>0</v>
      </c>
      <c r="V4" s="322">
        <f t="shared" ref="V4:V5" si="6">ROUND($U4*V$2,0)</f>
        <v>0</v>
      </c>
      <c r="W4" s="322">
        <f t="shared" si="2"/>
        <v>0</v>
      </c>
      <c r="X4" s="322">
        <f t="shared" si="2"/>
        <v>0</v>
      </c>
    </row>
    <row r="5" spans="1:24" s="158" customFormat="1" ht="24.75" customHeight="1">
      <c r="A5" s="215">
        <f t="shared" ref="A5:A6" si="7">A4+1</f>
        <v>3</v>
      </c>
      <c r="B5" s="222" t="s">
        <v>175</v>
      </c>
      <c r="C5" s="223" t="s">
        <v>176</v>
      </c>
      <c r="D5" s="317"/>
      <c r="E5" s="318">
        <v>72</v>
      </c>
      <c r="F5" s="216"/>
      <c r="G5" s="216"/>
      <c r="H5" s="225" t="s">
        <v>205</v>
      </c>
      <c r="I5" s="243"/>
      <c r="J5" s="217"/>
      <c r="K5" s="218"/>
      <c r="L5" s="218"/>
      <c r="M5" s="219"/>
      <c r="N5" s="187">
        <v>2</v>
      </c>
      <c r="O5" s="187" t="str">
        <f t="shared" si="0"/>
        <v>공</v>
      </c>
      <c r="P5" s="156" t="str">
        <f t="shared" si="1"/>
        <v>도공</v>
      </c>
      <c r="Q5" s="157"/>
      <c r="R5" s="321">
        <v>16500</v>
      </c>
      <c r="S5" s="321">
        <f t="shared" si="3"/>
        <v>0</v>
      </c>
      <c r="T5" s="321">
        <f t="shared" si="4"/>
        <v>16500</v>
      </c>
      <c r="U5" s="321">
        <f t="shared" si="5"/>
        <v>0</v>
      </c>
      <c r="V5" s="322">
        <f t="shared" si="6"/>
        <v>0</v>
      </c>
      <c r="W5" s="322">
        <f t="shared" si="2"/>
        <v>0</v>
      </c>
      <c r="X5" s="322">
        <f t="shared" si="2"/>
        <v>0</v>
      </c>
    </row>
    <row r="6" spans="1:24" s="158" customFormat="1" ht="24.95" customHeight="1">
      <c r="A6" s="323">
        <f t="shared" si="7"/>
        <v>4</v>
      </c>
      <c r="B6" s="222" t="s">
        <v>117</v>
      </c>
      <c r="C6" s="223" t="s">
        <v>131</v>
      </c>
      <c r="D6" s="317"/>
      <c r="E6" s="318">
        <v>291</v>
      </c>
      <c r="F6" s="216"/>
      <c r="G6" s="216"/>
      <c r="H6" s="225" t="s">
        <v>153</v>
      </c>
      <c r="I6" s="243"/>
      <c r="J6" s="217"/>
      <c r="K6" s="218"/>
      <c r="L6" s="218"/>
      <c r="M6" s="219"/>
      <c r="N6" s="187">
        <v>2</v>
      </c>
      <c r="O6" s="187" t="str">
        <f t="shared" si="0"/>
        <v>공</v>
      </c>
      <c r="P6" s="156" t="str">
        <f t="shared" si="1"/>
        <v>답공</v>
      </c>
      <c r="Q6" s="157"/>
      <c r="R6" s="321">
        <v>60200</v>
      </c>
      <c r="S6" s="321">
        <f>IF(N6=3,R6,)</f>
        <v>0</v>
      </c>
      <c r="T6" s="321">
        <f>IF(OR(N6=1,N6=2),R6,)</f>
        <v>60200</v>
      </c>
      <c r="U6" s="321">
        <f>S6*E6</f>
        <v>0</v>
      </c>
      <c r="V6" s="322">
        <f>ROUND($U6*V$2,0)</f>
        <v>0</v>
      </c>
      <c r="W6" s="322">
        <f t="shared" si="2"/>
        <v>0</v>
      </c>
      <c r="X6" s="322">
        <f t="shared" si="2"/>
        <v>0</v>
      </c>
    </row>
    <row r="7" spans="1:24" s="158" customFormat="1" ht="24.95" customHeight="1">
      <c r="A7" s="323">
        <f>A6+1</f>
        <v>5</v>
      </c>
      <c r="B7" s="222" t="s">
        <v>177</v>
      </c>
      <c r="C7" s="223" t="s">
        <v>180</v>
      </c>
      <c r="D7" s="317"/>
      <c r="E7" s="318">
        <v>67</v>
      </c>
      <c r="F7" s="216"/>
      <c r="G7" s="216"/>
      <c r="H7" s="225" t="s">
        <v>204</v>
      </c>
      <c r="I7" s="243"/>
      <c r="J7" s="217"/>
      <c r="K7" s="218"/>
      <c r="L7" s="218"/>
      <c r="M7" s="219"/>
      <c r="N7" s="187">
        <v>3</v>
      </c>
      <c r="O7" s="187" t="str">
        <f t="shared" si="0"/>
        <v>사</v>
      </c>
      <c r="P7" s="156" t="str">
        <f t="shared" si="1"/>
        <v>임사</v>
      </c>
      <c r="Q7" s="157"/>
      <c r="R7" s="321">
        <v>7890</v>
      </c>
      <c r="S7" s="321">
        <f>IF(N7=3,R7,)</f>
        <v>7890</v>
      </c>
      <c r="T7" s="321">
        <f>IF(OR(N7=1,N7=2),R7,)</f>
        <v>0</v>
      </c>
      <c r="U7" s="321">
        <f>S7*E7</f>
        <v>528630</v>
      </c>
      <c r="V7" s="322">
        <f>ROUND($U7*V$2,0)</f>
        <v>1057260</v>
      </c>
      <c r="W7" s="322">
        <f t="shared" si="2"/>
        <v>1585890</v>
      </c>
      <c r="X7" s="322">
        <f t="shared" si="2"/>
        <v>2114520</v>
      </c>
    </row>
    <row r="8" spans="1:24" s="158" customFormat="1" ht="24.95" customHeight="1">
      <c r="A8" s="323">
        <f t="shared" ref="A8:A9" si="8">A7+1</f>
        <v>6</v>
      </c>
      <c r="B8" s="222" t="s">
        <v>178</v>
      </c>
      <c r="C8" s="223" t="s">
        <v>176</v>
      </c>
      <c r="D8" s="317"/>
      <c r="E8" s="318">
        <v>294</v>
      </c>
      <c r="F8" s="216"/>
      <c r="G8" s="216"/>
      <c r="H8" s="225" t="s">
        <v>204</v>
      </c>
      <c r="I8" s="243"/>
      <c r="J8" s="217"/>
      <c r="K8" s="218"/>
      <c r="L8" s="218"/>
      <c r="M8" s="219"/>
      <c r="N8" s="187">
        <v>3</v>
      </c>
      <c r="O8" s="187" t="str">
        <f t="shared" si="0"/>
        <v>사</v>
      </c>
      <c r="P8" s="156" t="str">
        <f t="shared" si="1"/>
        <v>도사</v>
      </c>
      <c r="Q8" s="157"/>
      <c r="R8" s="321">
        <v>2400</v>
      </c>
      <c r="S8" s="321">
        <f>IF(N8=3,R8,)</f>
        <v>2400</v>
      </c>
      <c r="T8" s="321">
        <f>IF(OR(N8=1,N8=2),R8,)</f>
        <v>0</v>
      </c>
      <c r="U8" s="321">
        <f>S8*E8</f>
        <v>705600</v>
      </c>
      <c r="V8" s="322">
        <f>ROUND($U8*V$2,0)</f>
        <v>1411200</v>
      </c>
      <c r="W8" s="322">
        <f t="shared" si="2"/>
        <v>2116800</v>
      </c>
      <c r="X8" s="322">
        <f t="shared" si="2"/>
        <v>2822400</v>
      </c>
    </row>
    <row r="9" spans="1:24" s="158" customFormat="1" ht="24.95" customHeight="1">
      <c r="A9" s="323">
        <f t="shared" si="8"/>
        <v>7</v>
      </c>
      <c r="B9" s="222" t="s">
        <v>179</v>
      </c>
      <c r="C9" s="223" t="s">
        <v>181</v>
      </c>
      <c r="D9" s="317"/>
      <c r="E9" s="318">
        <v>74</v>
      </c>
      <c r="F9" s="216"/>
      <c r="G9" s="216"/>
      <c r="H9" s="225" t="s">
        <v>204</v>
      </c>
      <c r="I9" s="243"/>
      <c r="J9" s="217"/>
      <c r="K9" s="218"/>
      <c r="L9" s="218"/>
      <c r="M9" s="219"/>
      <c r="N9" s="187">
        <v>3</v>
      </c>
      <c r="O9" s="187" t="str">
        <f t="shared" si="0"/>
        <v>사</v>
      </c>
      <c r="P9" s="156" t="str">
        <f t="shared" si="1"/>
        <v>임사</v>
      </c>
      <c r="Q9" s="157"/>
      <c r="R9" s="321">
        <v>8440</v>
      </c>
      <c r="S9" s="321">
        <f>IF(N9=3,R9,)</f>
        <v>8440</v>
      </c>
      <c r="T9" s="321">
        <f>IF(OR(N9=1,N9=2),R9,)</f>
        <v>0</v>
      </c>
      <c r="U9" s="321">
        <f>S9*E9</f>
        <v>624560</v>
      </c>
      <c r="V9" s="322">
        <f>ROUND($U9*V$2,0)</f>
        <v>1249120</v>
      </c>
      <c r="W9" s="322">
        <f t="shared" si="2"/>
        <v>1873680</v>
      </c>
      <c r="X9" s="322">
        <f t="shared" si="2"/>
        <v>2498240</v>
      </c>
    </row>
    <row r="10" spans="1:24" s="158" customFormat="1" ht="24.95" customHeight="1">
      <c r="A10" s="323">
        <f>A9+1</f>
        <v>8</v>
      </c>
      <c r="B10" s="222" t="s">
        <v>118</v>
      </c>
      <c r="C10" s="223" t="s">
        <v>132</v>
      </c>
      <c r="D10" s="317"/>
      <c r="E10" s="318">
        <v>275</v>
      </c>
      <c r="F10" s="216"/>
      <c r="G10" s="216"/>
      <c r="H10" s="316" t="s">
        <v>153</v>
      </c>
      <c r="I10" s="243"/>
      <c r="J10" s="217"/>
      <c r="K10" s="218"/>
      <c r="L10" s="218"/>
      <c r="M10" s="219"/>
      <c r="N10" s="187">
        <v>2</v>
      </c>
      <c r="O10" s="187" t="str">
        <f t="shared" si="0"/>
        <v>공</v>
      </c>
      <c r="P10" s="156" t="str">
        <f t="shared" si="1"/>
        <v>임공</v>
      </c>
      <c r="Q10" s="157"/>
      <c r="R10" s="321">
        <v>7220</v>
      </c>
      <c r="S10" s="321">
        <f t="shared" ref="S10:S16" si="9">IF(N10=3,R10,)</f>
        <v>0</v>
      </c>
      <c r="T10" s="321">
        <f t="shared" ref="T10:T16" si="10">IF(OR(N10=1,N10=2),R10,)</f>
        <v>7220</v>
      </c>
      <c r="U10" s="321">
        <f t="shared" ref="U10:U16" si="11">S10*E10</f>
        <v>0</v>
      </c>
      <c r="V10" s="322">
        <f t="shared" ref="V10:V29" si="12">ROUND($U10*V$2,0)</f>
        <v>0</v>
      </c>
      <c r="W10" s="322">
        <f t="shared" si="2"/>
        <v>0</v>
      </c>
      <c r="X10" s="322">
        <f t="shared" si="2"/>
        <v>0</v>
      </c>
    </row>
    <row r="11" spans="1:24" s="158" customFormat="1" ht="24.95" customHeight="1">
      <c r="A11" s="323">
        <f>A10+1</f>
        <v>9</v>
      </c>
      <c r="B11" s="222" t="s">
        <v>182</v>
      </c>
      <c r="C11" s="223" t="s">
        <v>180</v>
      </c>
      <c r="D11" s="317"/>
      <c r="E11" s="318">
        <v>238</v>
      </c>
      <c r="F11" s="216"/>
      <c r="G11" s="216"/>
      <c r="H11" s="316" t="s">
        <v>204</v>
      </c>
      <c r="I11" s="243"/>
      <c r="J11" s="217"/>
      <c r="K11" s="218"/>
      <c r="L11" s="218"/>
      <c r="M11" s="219"/>
      <c r="N11" s="187">
        <v>3</v>
      </c>
      <c r="O11" s="187" t="str">
        <f t="shared" si="0"/>
        <v>사</v>
      </c>
      <c r="P11" s="156" t="str">
        <f t="shared" si="1"/>
        <v>임사</v>
      </c>
      <c r="Q11" s="157"/>
      <c r="R11" s="321">
        <v>8880</v>
      </c>
      <c r="S11" s="321">
        <f t="shared" si="9"/>
        <v>8880</v>
      </c>
      <c r="T11" s="321">
        <f t="shared" si="10"/>
        <v>0</v>
      </c>
      <c r="U11" s="321">
        <f t="shared" si="11"/>
        <v>2113440</v>
      </c>
      <c r="V11" s="322">
        <f t="shared" si="12"/>
        <v>4226880</v>
      </c>
      <c r="W11" s="322">
        <f t="shared" si="2"/>
        <v>6340320</v>
      </c>
      <c r="X11" s="322">
        <f t="shared" si="2"/>
        <v>8453760</v>
      </c>
    </row>
    <row r="12" spans="1:24" s="158" customFormat="1" ht="24.95" customHeight="1">
      <c r="A12" s="323">
        <f t="shared" ref="A12:A75" si="13">A11+1</f>
        <v>10</v>
      </c>
      <c r="B12" s="222" t="s">
        <v>183</v>
      </c>
      <c r="C12" s="223" t="s">
        <v>184</v>
      </c>
      <c r="D12" s="317"/>
      <c r="E12" s="318">
        <v>1080</v>
      </c>
      <c r="F12" s="216"/>
      <c r="G12" s="216"/>
      <c r="H12" s="316" t="s">
        <v>205</v>
      </c>
      <c r="I12" s="243"/>
      <c r="J12" s="217"/>
      <c r="K12" s="218"/>
      <c r="L12" s="218"/>
      <c r="M12" s="219"/>
      <c r="N12" s="187">
        <v>2</v>
      </c>
      <c r="O12" s="187" t="str">
        <f t="shared" si="0"/>
        <v>공</v>
      </c>
      <c r="P12" s="156" t="str">
        <f t="shared" si="1"/>
        <v>도공</v>
      </c>
      <c r="Q12" s="157"/>
      <c r="R12" s="321">
        <v>16500</v>
      </c>
      <c r="S12" s="321">
        <f t="shared" si="9"/>
        <v>0</v>
      </c>
      <c r="T12" s="321">
        <f t="shared" si="10"/>
        <v>16500</v>
      </c>
      <c r="U12" s="321">
        <f t="shared" si="11"/>
        <v>0</v>
      </c>
      <c r="V12" s="322">
        <f t="shared" si="12"/>
        <v>0</v>
      </c>
      <c r="W12" s="322">
        <f t="shared" si="2"/>
        <v>0</v>
      </c>
      <c r="X12" s="322">
        <f t="shared" si="2"/>
        <v>0</v>
      </c>
    </row>
    <row r="13" spans="1:24" s="158" customFormat="1" ht="24.95" customHeight="1">
      <c r="A13" s="323">
        <f t="shared" si="13"/>
        <v>11</v>
      </c>
      <c r="B13" s="222" t="s">
        <v>119</v>
      </c>
      <c r="C13" s="223" t="s">
        <v>132</v>
      </c>
      <c r="D13" s="317"/>
      <c r="E13" s="318">
        <v>289</v>
      </c>
      <c r="F13" s="216"/>
      <c r="G13" s="216"/>
      <c r="H13" s="225" t="s">
        <v>155</v>
      </c>
      <c r="I13" s="243"/>
      <c r="J13" s="217"/>
      <c r="K13" s="218"/>
      <c r="L13" s="218"/>
      <c r="M13" s="219"/>
      <c r="N13" s="187">
        <v>3</v>
      </c>
      <c r="O13" s="187" t="str">
        <f t="shared" si="0"/>
        <v>사</v>
      </c>
      <c r="P13" s="156" t="str">
        <f t="shared" si="1"/>
        <v>임사</v>
      </c>
      <c r="Q13" s="157"/>
      <c r="R13" s="321">
        <v>8040</v>
      </c>
      <c r="S13" s="321">
        <f t="shared" si="9"/>
        <v>8040</v>
      </c>
      <c r="T13" s="321">
        <f t="shared" si="10"/>
        <v>0</v>
      </c>
      <c r="U13" s="321">
        <f t="shared" si="11"/>
        <v>2323560</v>
      </c>
      <c r="V13" s="322">
        <f t="shared" si="12"/>
        <v>4647120</v>
      </c>
      <c r="W13" s="322">
        <f t="shared" si="2"/>
        <v>6970680</v>
      </c>
      <c r="X13" s="322">
        <f t="shared" si="2"/>
        <v>9294240</v>
      </c>
    </row>
    <row r="14" spans="1:24" s="158" customFormat="1" ht="24.95" customHeight="1">
      <c r="A14" s="323">
        <f t="shared" si="13"/>
        <v>12</v>
      </c>
      <c r="B14" s="222" t="s">
        <v>120</v>
      </c>
      <c r="C14" s="223" t="s">
        <v>132</v>
      </c>
      <c r="D14" s="317"/>
      <c r="E14" s="318">
        <v>206</v>
      </c>
      <c r="F14" s="216"/>
      <c r="G14" s="216"/>
      <c r="H14" s="225" t="s">
        <v>156</v>
      </c>
      <c r="I14" s="243"/>
      <c r="J14" s="217"/>
      <c r="K14" s="218"/>
      <c r="L14" s="218"/>
      <c r="M14" s="219"/>
      <c r="N14" s="187">
        <v>3</v>
      </c>
      <c r="O14" s="187" t="str">
        <f t="shared" si="0"/>
        <v>사</v>
      </c>
      <c r="P14" s="156" t="str">
        <f t="shared" si="1"/>
        <v>임사</v>
      </c>
      <c r="Q14" s="157"/>
      <c r="R14" s="321">
        <v>8040</v>
      </c>
      <c r="S14" s="321">
        <f t="shared" si="9"/>
        <v>8040</v>
      </c>
      <c r="T14" s="321">
        <f t="shared" si="10"/>
        <v>0</v>
      </c>
      <c r="U14" s="321">
        <f t="shared" si="11"/>
        <v>1656240</v>
      </c>
      <c r="V14" s="322">
        <f t="shared" si="12"/>
        <v>3312480</v>
      </c>
      <c r="W14" s="322">
        <f t="shared" si="2"/>
        <v>4968720</v>
      </c>
      <c r="X14" s="322">
        <f t="shared" si="2"/>
        <v>6624960</v>
      </c>
    </row>
    <row r="15" spans="1:24" s="158" customFormat="1" ht="24.95" customHeight="1">
      <c r="A15" s="323">
        <f t="shared" si="13"/>
        <v>13</v>
      </c>
      <c r="B15" s="222">
        <v>833</v>
      </c>
      <c r="C15" s="223" t="s">
        <v>133</v>
      </c>
      <c r="D15" s="317"/>
      <c r="E15" s="318">
        <v>196</v>
      </c>
      <c r="F15" s="216"/>
      <c r="G15" s="216"/>
      <c r="H15" s="316" t="s">
        <v>153</v>
      </c>
      <c r="I15" s="243"/>
      <c r="J15" s="217"/>
      <c r="K15" s="218"/>
      <c r="L15" s="218"/>
      <c r="M15" s="219"/>
      <c r="N15" s="187">
        <v>2</v>
      </c>
      <c r="O15" s="187" t="str">
        <f>IF(N15=1,"국",IF(N15=2,"공","사"))</f>
        <v>공</v>
      </c>
      <c r="P15" s="156" t="str">
        <f>CONCATENATE(C15,O15)</f>
        <v>도공</v>
      </c>
      <c r="Q15" s="157"/>
      <c r="R15" s="321">
        <v>16500</v>
      </c>
      <c r="S15" s="321">
        <f>IF(N15=3,R15,)</f>
        <v>0</v>
      </c>
      <c r="T15" s="321">
        <f>IF(OR(N15=1,N15=2),R15,)</f>
        <v>16500</v>
      </c>
      <c r="U15" s="321">
        <f>S15*E15</f>
        <v>0</v>
      </c>
      <c r="V15" s="322">
        <f>ROUND($U15*V$2,0)</f>
        <v>0</v>
      </c>
      <c r="W15" s="322">
        <f>ROUND($U15*W$2,0)</f>
        <v>0</v>
      </c>
      <c r="X15" s="322">
        <f>ROUND($U15*X$2,0)</f>
        <v>0</v>
      </c>
    </row>
    <row r="16" spans="1:24" s="158" customFormat="1" ht="24.95" customHeight="1">
      <c r="A16" s="323">
        <f t="shared" si="13"/>
        <v>14</v>
      </c>
      <c r="B16" s="222" t="s">
        <v>121</v>
      </c>
      <c r="C16" s="223" t="s">
        <v>131</v>
      </c>
      <c r="D16" s="317"/>
      <c r="E16" s="318">
        <v>287</v>
      </c>
      <c r="F16" s="216"/>
      <c r="G16" s="216"/>
      <c r="H16" s="316" t="s">
        <v>153</v>
      </c>
      <c r="I16" s="243"/>
      <c r="J16" s="217"/>
      <c r="K16" s="218"/>
      <c r="L16" s="218"/>
      <c r="M16" s="219"/>
      <c r="N16" s="187">
        <v>2</v>
      </c>
      <c r="O16" s="187" t="str">
        <f t="shared" si="0"/>
        <v>공</v>
      </c>
      <c r="P16" s="156" t="str">
        <f t="shared" si="1"/>
        <v>답공</v>
      </c>
      <c r="Q16" s="157"/>
      <c r="R16" s="321">
        <v>63500</v>
      </c>
      <c r="S16" s="321">
        <f t="shared" si="9"/>
        <v>0</v>
      </c>
      <c r="T16" s="321">
        <f t="shared" si="10"/>
        <v>63500</v>
      </c>
      <c r="U16" s="321">
        <f t="shared" si="11"/>
        <v>0</v>
      </c>
      <c r="V16" s="322">
        <f t="shared" si="12"/>
        <v>0</v>
      </c>
      <c r="W16" s="322">
        <f t="shared" si="2"/>
        <v>0</v>
      </c>
      <c r="X16" s="322">
        <f t="shared" si="2"/>
        <v>0</v>
      </c>
    </row>
    <row r="17" spans="1:24" s="158" customFormat="1" ht="24.95" customHeight="1">
      <c r="A17" s="323">
        <f t="shared" si="13"/>
        <v>15</v>
      </c>
      <c r="B17" s="222" t="s">
        <v>171</v>
      </c>
      <c r="C17" s="223" t="s">
        <v>63</v>
      </c>
      <c r="D17" s="317"/>
      <c r="E17" s="318">
        <v>419</v>
      </c>
      <c r="F17" s="216"/>
      <c r="G17" s="216"/>
      <c r="H17" s="316" t="s">
        <v>153</v>
      </c>
      <c r="I17" s="243"/>
      <c r="J17" s="217"/>
      <c r="K17" s="218"/>
      <c r="L17" s="218"/>
      <c r="M17" s="219"/>
      <c r="N17" s="187">
        <v>2</v>
      </c>
      <c r="O17" s="187" t="str">
        <f t="shared" si="0"/>
        <v>공</v>
      </c>
      <c r="P17" s="156" t="str">
        <f t="shared" si="1"/>
        <v>도공</v>
      </c>
      <c r="Q17" s="157"/>
      <c r="R17" s="321">
        <v>5510</v>
      </c>
      <c r="S17" s="321">
        <f>IF(N17=3,R17,)</f>
        <v>0</v>
      </c>
      <c r="T17" s="321">
        <f>IF(OR(N17=1,N17=2),R17,)</f>
        <v>5510</v>
      </c>
      <c r="U17" s="321">
        <f>S17*E17</f>
        <v>0</v>
      </c>
      <c r="V17" s="322">
        <f t="shared" ref="V17:X19" si="14">ROUND($U17*V$2,0)</f>
        <v>0</v>
      </c>
      <c r="W17" s="322">
        <f t="shared" si="14"/>
        <v>0</v>
      </c>
      <c r="X17" s="322">
        <f t="shared" si="14"/>
        <v>0</v>
      </c>
    </row>
    <row r="18" spans="1:24" s="158" customFormat="1" ht="24.95" customHeight="1">
      <c r="A18" s="323">
        <f>A17+1</f>
        <v>16</v>
      </c>
      <c r="B18" s="222" t="s">
        <v>185</v>
      </c>
      <c r="C18" s="223" t="s">
        <v>181</v>
      </c>
      <c r="D18" s="317"/>
      <c r="E18" s="318">
        <v>4</v>
      </c>
      <c r="F18" s="216"/>
      <c r="G18" s="216"/>
      <c r="H18" s="316" t="s">
        <v>204</v>
      </c>
      <c r="I18" s="243"/>
      <c r="J18" s="217"/>
      <c r="K18" s="218"/>
      <c r="L18" s="218"/>
      <c r="M18" s="219"/>
      <c r="N18" s="187">
        <v>3</v>
      </c>
      <c r="O18" s="187" t="str">
        <f t="shared" si="0"/>
        <v>사</v>
      </c>
      <c r="P18" s="156" t="str">
        <f t="shared" si="1"/>
        <v>임사</v>
      </c>
      <c r="Q18" s="157"/>
      <c r="R18" s="321">
        <v>13100</v>
      </c>
      <c r="S18" s="321">
        <f>IF(N18=3,R18,)</f>
        <v>13100</v>
      </c>
      <c r="T18" s="321">
        <f>IF(OR(N18=1,N18=2),R18,)</f>
        <v>0</v>
      </c>
      <c r="U18" s="321">
        <f>S18*E18</f>
        <v>52400</v>
      </c>
      <c r="V18" s="322">
        <f t="shared" si="14"/>
        <v>104800</v>
      </c>
      <c r="W18" s="322">
        <f t="shared" si="14"/>
        <v>157200</v>
      </c>
      <c r="X18" s="322">
        <f t="shared" si="14"/>
        <v>209600</v>
      </c>
    </row>
    <row r="19" spans="1:24" s="158" customFormat="1" ht="24.95" customHeight="1">
      <c r="A19" s="323">
        <f t="shared" ref="A19:A28" si="15">A18+1</f>
        <v>17</v>
      </c>
      <c r="B19" s="222">
        <v>832</v>
      </c>
      <c r="C19" s="223" t="s">
        <v>63</v>
      </c>
      <c r="D19" s="317"/>
      <c r="E19" s="318">
        <v>241</v>
      </c>
      <c r="F19" s="216"/>
      <c r="G19" s="216"/>
      <c r="H19" s="316" t="s">
        <v>153</v>
      </c>
      <c r="I19" s="243"/>
      <c r="J19" s="217"/>
      <c r="K19" s="218"/>
      <c r="L19" s="218"/>
      <c r="M19" s="219"/>
      <c r="N19" s="187">
        <v>2</v>
      </c>
      <c r="O19" s="187" t="str">
        <f t="shared" si="0"/>
        <v>공</v>
      </c>
      <c r="P19" s="156" t="str">
        <f t="shared" si="1"/>
        <v>도공</v>
      </c>
      <c r="Q19" s="157"/>
      <c r="R19" s="321">
        <v>16500</v>
      </c>
      <c r="S19" s="321">
        <f>IF(N19=3,R19,)</f>
        <v>0</v>
      </c>
      <c r="T19" s="321">
        <f>IF(OR(N19=1,N19=2),R19,)</f>
        <v>16500</v>
      </c>
      <c r="U19" s="321">
        <f>S19*E19</f>
        <v>0</v>
      </c>
      <c r="V19" s="322">
        <f t="shared" si="14"/>
        <v>0</v>
      </c>
      <c r="W19" s="322">
        <f t="shared" si="14"/>
        <v>0</v>
      </c>
      <c r="X19" s="322">
        <f t="shared" si="14"/>
        <v>0</v>
      </c>
    </row>
    <row r="20" spans="1:24" s="158" customFormat="1" ht="24.95" customHeight="1">
      <c r="A20" s="323">
        <f t="shared" si="15"/>
        <v>18</v>
      </c>
      <c r="B20" s="222" t="s">
        <v>122</v>
      </c>
      <c r="C20" s="223" t="s">
        <v>131</v>
      </c>
      <c r="D20" s="317"/>
      <c r="E20" s="318">
        <v>317</v>
      </c>
      <c r="F20" s="216"/>
      <c r="G20" s="216"/>
      <c r="H20" s="316" t="s">
        <v>153</v>
      </c>
      <c r="I20" s="243"/>
      <c r="J20" s="217"/>
      <c r="K20" s="218"/>
      <c r="L20" s="218"/>
      <c r="M20" s="219"/>
      <c r="N20" s="187">
        <v>2</v>
      </c>
      <c r="O20" s="187" t="str">
        <f t="shared" si="0"/>
        <v>공</v>
      </c>
      <c r="P20" s="156" t="str">
        <f t="shared" si="1"/>
        <v>답공</v>
      </c>
      <c r="Q20" s="157"/>
      <c r="R20" s="321">
        <v>44800</v>
      </c>
      <c r="S20" s="321">
        <f t="shared" ref="S20:S29" si="16">IF(N20=3,R20,)</f>
        <v>0</v>
      </c>
      <c r="T20" s="321">
        <f t="shared" ref="T20:T29" si="17">IF(OR(N20=1,N20=2),R20,)</f>
        <v>44800</v>
      </c>
      <c r="U20" s="321">
        <f t="shared" ref="U20:U29" si="18">S20*E20</f>
        <v>0</v>
      </c>
      <c r="V20" s="322">
        <f t="shared" si="12"/>
        <v>0</v>
      </c>
      <c r="W20" s="322">
        <f t="shared" si="2"/>
        <v>0</v>
      </c>
      <c r="X20" s="322">
        <f t="shared" si="2"/>
        <v>0</v>
      </c>
    </row>
    <row r="21" spans="1:24" s="158" customFormat="1" ht="24.95" customHeight="1">
      <c r="A21" s="323">
        <f t="shared" si="15"/>
        <v>19</v>
      </c>
      <c r="B21" s="222" t="s">
        <v>126</v>
      </c>
      <c r="C21" s="223" t="s">
        <v>133</v>
      </c>
      <c r="D21" s="317"/>
      <c r="E21" s="318">
        <v>908</v>
      </c>
      <c r="F21" s="216"/>
      <c r="G21" s="216"/>
      <c r="H21" s="316" t="s">
        <v>161</v>
      </c>
      <c r="I21" s="243"/>
      <c r="J21" s="217"/>
      <c r="K21" s="218"/>
      <c r="L21" s="218"/>
      <c r="M21" s="219"/>
      <c r="N21" s="187">
        <v>3</v>
      </c>
      <c r="O21" s="187" t="str">
        <f>IF(N21=1,"국",IF(N21=2,"공","사"))</f>
        <v>사</v>
      </c>
      <c r="P21" s="156" t="str">
        <f>CONCATENATE(C21,O21)</f>
        <v>도사</v>
      </c>
      <c r="Q21" s="157"/>
      <c r="R21" s="321">
        <v>5510</v>
      </c>
      <c r="S21" s="321">
        <f>IF(N21=3,R21,)</f>
        <v>5510</v>
      </c>
      <c r="T21" s="321">
        <f>IF(OR(N21=1,N21=2),R21,)</f>
        <v>0</v>
      </c>
      <c r="U21" s="321">
        <f>S21*E21</f>
        <v>5003080</v>
      </c>
      <c r="V21" s="322">
        <f t="shared" ref="V21:X23" si="19">ROUND($U21*V$2,0)</f>
        <v>10006160</v>
      </c>
      <c r="W21" s="322">
        <f t="shared" si="19"/>
        <v>15009240</v>
      </c>
      <c r="X21" s="322">
        <f t="shared" si="19"/>
        <v>20012320</v>
      </c>
    </row>
    <row r="22" spans="1:24" s="158" customFormat="1" ht="24.95" customHeight="1">
      <c r="A22" s="323">
        <f t="shared" si="15"/>
        <v>20</v>
      </c>
      <c r="B22" s="222" t="s">
        <v>186</v>
      </c>
      <c r="C22" s="223" t="s">
        <v>181</v>
      </c>
      <c r="D22" s="317"/>
      <c r="E22" s="318">
        <v>918</v>
      </c>
      <c r="F22" s="216"/>
      <c r="G22" s="216"/>
      <c r="H22" s="316" t="s">
        <v>206</v>
      </c>
      <c r="I22" s="243"/>
      <c r="J22" s="217"/>
      <c r="K22" s="218"/>
      <c r="L22" s="218"/>
      <c r="M22" s="219"/>
      <c r="N22" s="187">
        <v>3</v>
      </c>
      <c r="O22" s="187" t="str">
        <f>IF(N22=1,"국",IF(N22=2,"공","사"))</f>
        <v>사</v>
      </c>
      <c r="P22" s="156" t="str">
        <f>CONCATENATE(C22,O22)</f>
        <v>임사</v>
      </c>
      <c r="Q22" s="157"/>
      <c r="R22" s="321">
        <v>17600</v>
      </c>
      <c r="S22" s="321">
        <f>IF(N22=3,R22,)</f>
        <v>17600</v>
      </c>
      <c r="T22" s="321">
        <f>IF(OR(N22=1,N22=2),R22,)</f>
        <v>0</v>
      </c>
      <c r="U22" s="321">
        <f>S22*E22</f>
        <v>16156800</v>
      </c>
      <c r="V22" s="322">
        <f t="shared" si="19"/>
        <v>32313600</v>
      </c>
      <c r="W22" s="322">
        <f t="shared" si="19"/>
        <v>48470400</v>
      </c>
      <c r="X22" s="322">
        <f t="shared" si="19"/>
        <v>64627200</v>
      </c>
    </row>
    <row r="23" spans="1:24" s="158" customFormat="1" ht="24.95" customHeight="1">
      <c r="A23" s="323">
        <f t="shared" si="15"/>
        <v>21</v>
      </c>
      <c r="B23" s="222" t="s">
        <v>187</v>
      </c>
      <c r="C23" s="223" t="s">
        <v>176</v>
      </c>
      <c r="D23" s="317"/>
      <c r="E23" s="318">
        <v>9</v>
      </c>
      <c r="F23" s="216"/>
      <c r="G23" s="216"/>
      <c r="H23" s="316" t="s">
        <v>205</v>
      </c>
      <c r="I23" s="243"/>
      <c r="J23" s="217"/>
      <c r="K23" s="218"/>
      <c r="L23" s="218"/>
      <c r="M23" s="219"/>
      <c r="N23" s="187">
        <v>2</v>
      </c>
      <c r="O23" s="187" t="str">
        <f>IF(N23=1,"국",IF(N23=2,"공","사"))</f>
        <v>공</v>
      </c>
      <c r="P23" s="156" t="str">
        <f>CONCATENATE(C23,O23)</f>
        <v>도공</v>
      </c>
      <c r="Q23" s="157"/>
      <c r="R23" s="321">
        <v>21400</v>
      </c>
      <c r="S23" s="321">
        <f>IF(N23=3,R23,)</f>
        <v>0</v>
      </c>
      <c r="T23" s="321">
        <f>IF(OR(N23=1,N23=2),R23,)</f>
        <v>21400</v>
      </c>
      <c r="U23" s="321">
        <f>S23*E23</f>
        <v>0</v>
      </c>
      <c r="V23" s="322">
        <f t="shared" si="19"/>
        <v>0</v>
      </c>
      <c r="W23" s="322">
        <f t="shared" si="19"/>
        <v>0</v>
      </c>
      <c r="X23" s="322">
        <f t="shared" si="19"/>
        <v>0</v>
      </c>
    </row>
    <row r="24" spans="1:24" s="158" customFormat="1" ht="24.95" customHeight="1">
      <c r="A24" s="323">
        <f t="shared" si="15"/>
        <v>22</v>
      </c>
      <c r="B24" s="222">
        <v>831</v>
      </c>
      <c r="C24" s="223" t="s">
        <v>131</v>
      </c>
      <c r="D24" s="317"/>
      <c r="E24" s="318">
        <v>26</v>
      </c>
      <c r="F24" s="216"/>
      <c r="G24" s="216"/>
      <c r="H24" s="316" t="s">
        <v>153</v>
      </c>
      <c r="I24" s="243"/>
      <c r="J24" s="217"/>
      <c r="K24" s="218"/>
      <c r="L24" s="218"/>
      <c r="M24" s="219"/>
      <c r="N24" s="187">
        <v>2</v>
      </c>
      <c r="O24" s="187" t="str">
        <f t="shared" si="0"/>
        <v>공</v>
      </c>
      <c r="P24" s="156" t="str">
        <f t="shared" si="1"/>
        <v>답공</v>
      </c>
      <c r="Q24" s="157"/>
      <c r="R24" s="321">
        <v>57600</v>
      </c>
      <c r="S24" s="321">
        <f t="shared" si="16"/>
        <v>0</v>
      </c>
      <c r="T24" s="321">
        <f t="shared" si="17"/>
        <v>57600</v>
      </c>
      <c r="U24" s="321">
        <f t="shared" si="18"/>
        <v>0</v>
      </c>
      <c r="V24" s="322">
        <f t="shared" si="12"/>
        <v>0</v>
      </c>
      <c r="W24" s="322">
        <f t="shared" si="2"/>
        <v>0</v>
      </c>
      <c r="X24" s="322">
        <f t="shared" si="2"/>
        <v>0</v>
      </c>
    </row>
    <row r="25" spans="1:24" s="158" customFormat="1" ht="24.95" customHeight="1">
      <c r="A25" s="323">
        <f t="shared" si="15"/>
        <v>23</v>
      </c>
      <c r="B25" s="222" t="s">
        <v>130</v>
      </c>
      <c r="C25" s="223" t="s">
        <v>133</v>
      </c>
      <c r="D25" s="317"/>
      <c r="E25" s="318">
        <v>77</v>
      </c>
      <c r="F25" s="216"/>
      <c r="G25" s="216"/>
      <c r="H25" s="316" t="s">
        <v>159</v>
      </c>
      <c r="I25" s="243"/>
      <c r="J25" s="217"/>
      <c r="K25" s="218"/>
      <c r="L25" s="218"/>
      <c r="M25" s="219"/>
      <c r="N25" s="187">
        <v>3</v>
      </c>
      <c r="O25" s="187" t="str">
        <f>IF(N25=1,"국",IF(N25=2,"공","사"))</f>
        <v>사</v>
      </c>
      <c r="P25" s="156" t="str">
        <f>CONCATENATE(C25,O25)</f>
        <v>도사</v>
      </c>
      <c r="Q25" s="157"/>
      <c r="R25" s="321">
        <v>21400</v>
      </c>
      <c r="S25" s="321">
        <f>IF(N25=3,R25,)</f>
        <v>21400</v>
      </c>
      <c r="T25" s="321">
        <f>IF(OR(N25=1,N25=2),R25,)</f>
        <v>0</v>
      </c>
      <c r="U25" s="321">
        <f>S25*E25</f>
        <v>1647800</v>
      </c>
      <c r="V25" s="322">
        <f>ROUND($U25*V$2,0)</f>
        <v>3295600</v>
      </c>
      <c r="W25" s="322">
        <f>ROUND($U25*W$2,0)</f>
        <v>4943400</v>
      </c>
      <c r="X25" s="322">
        <f>ROUND($U25*X$2,0)</f>
        <v>6591200</v>
      </c>
    </row>
    <row r="26" spans="1:24" s="158" customFormat="1" ht="24.95" customHeight="1">
      <c r="A26" s="323">
        <f t="shared" si="15"/>
        <v>24</v>
      </c>
      <c r="B26" s="222">
        <v>830</v>
      </c>
      <c r="C26" s="223" t="s">
        <v>134</v>
      </c>
      <c r="D26" s="317"/>
      <c r="E26" s="318">
        <v>55</v>
      </c>
      <c r="F26" s="216"/>
      <c r="G26" s="216"/>
      <c r="H26" s="316" t="s">
        <v>157</v>
      </c>
      <c r="I26" s="243"/>
      <c r="J26" s="217"/>
      <c r="K26" s="218"/>
      <c r="L26" s="218"/>
      <c r="M26" s="219"/>
      <c r="N26" s="187">
        <v>3</v>
      </c>
      <c r="O26" s="187" t="str">
        <f t="shared" si="0"/>
        <v>사</v>
      </c>
      <c r="P26" s="156" t="str">
        <f t="shared" si="1"/>
        <v>대사</v>
      </c>
      <c r="Q26" s="157"/>
      <c r="R26" s="321">
        <v>100100</v>
      </c>
      <c r="S26" s="321">
        <f t="shared" si="16"/>
        <v>100100</v>
      </c>
      <c r="T26" s="321">
        <f t="shared" si="17"/>
        <v>0</v>
      </c>
      <c r="U26" s="321">
        <f t="shared" si="18"/>
        <v>5505500</v>
      </c>
      <c r="V26" s="322">
        <f t="shared" si="12"/>
        <v>11011000</v>
      </c>
      <c r="W26" s="322">
        <f t="shared" si="2"/>
        <v>16516500</v>
      </c>
      <c r="X26" s="322">
        <f t="shared" si="2"/>
        <v>22022000</v>
      </c>
    </row>
    <row r="27" spans="1:24" s="158" customFormat="1" ht="24.95" customHeight="1">
      <c r="A27" s="323">
        <f t="shared" si="15"/>
        <v>25</v>
      </c>
      <c r="B27" s="222">
        <v>1920</v>
      </c>
      <c r="C27" s="223" t="s">
        <v>133</v>
      </c>
      <c r="D27" s="317"/>
      <c r="E27" s="318">
        <v>141</v>
      </c>
      <c r="F27" s="216"/>
      <c r="G27" s="216"/>
      <c r="H27" s="316" t="s">
        <v>160</v>
      </c>
      <c r="I27" s="243"/>
      <c r="J27" s="217"/>
      <c r="K27" s="218"/>
      <c r="L27" s="218"/>
      <c r="M27" s="219"/>
      <c r="N27" s="187">
        <v>1</v>
      </c>
      <c r="O27" s="187" t="str">
        <f>IF(N27=1,"국",IF(N27=2,"공","사"))</f>
        <v>국</v>
      </c>
      <c r="P27" s="156" t="str">
        <f>CONCATENATE(C27,O27)</f>
        <v>도국</v>
      </c>
      <c r="Q27" s="157"/>
      <c r="R27" s="321">
        <v>37900</v>
      </c>
      <c r="S27" s="321">
        <f>IF(N27=3,R27,)</f>
        <v>0</v>
      </c>
      <c r="T27" s="321">
        <f>IF(OR(N27=1,N27=2),R27,)</f>
        <v>37900</v>
      </c>
      <c r="U27" s="321">
        <f>S27*E27</f>
        <v>0</v>
      </c>
      <c r="V27" s="322">
        <f>ROUND($U27*V$2,0)</f>
        <v>0</v>
      </c>
      <c r="W27" s="322">
        <f>ROUND($U27*W$2,0)</f>
        <v>0</v>
      </c>
      <c r="X27" s="322">
        <f>ROUND($U27*X$2,0)</f>
        <v>0</v>
      </c>
    </row>
    <row r="28" spans="1:24" s="158" customFormat="1" ht="24.95" customHeight="1">
      <c r="A28" s="323">
        <f t="shared" si="15"/>
        <v>26</v>
      </c>
      <c r="B28" s="222" t="s">
        <v>123</v>
      </c>
      <c r="C28" s="223" t="s">
        <v>134</v>
      </c>
      <c r="D28" s="317"/>
      <c r="E28" s="318">
        <v>4</v>
      </c>
      <c r="F28" s="216"/>
      <c r="G28" s="216"/>
      <c r="H28" s="316" t="s">
        <v>157</v>
      </c>
      <c r="I28" s="243"/>
      <c r="J28" s="217"/>
      <c r="K28" s="218"/>
      <c r="L28" s="218"/>
      <c r="M28" s="219"/>
      <c r="N28" s="187">
        <v>3</v>
      </c>
      <c r="O28" s="187" t="str">
        <f t="shared" si="0"/>
        <v>사</v>
      </c>
      <c r="P28" s="156" t="str">
        <f t="shared" si="1"/>
        <v>대사</v>
      </c>
      <c r="Q28" s="157"/>
      <c r="R28" s="321">
        <v>95400</v>
      </c>
      <c r="S28" s="321">
        <f t="shared" si="16"/>
        <v>95400</v>
      </c>
      <c r="T28" s="321">
        <f t="shared" si="17"/>
        <v>0</v>
      </c>
      <c r="U28" s="321">
        <f t="shared" si="18"/>
        <v>381600</v>
      </c>
      <c r="V28" s="322">
        <f t="shared" si="12"/>
        <v>763200</v>
      </c>
      <c r="W28" s="322">
        <f t="shared" si="2"/>
        <v>1144800</v>
      </c>
      <c r="X28" s="322">
        <f t="shared" si="2"/>
        <v>1526400</v>
      </c>
    </row>
    <row r="29" spans="1:24" s="158" customFormat="1" ht="24.95" customHeight="1">
      <c r="A29" s="323">
        <f t="shared" si="13"/>
        <v>27</v>
      </c>
      <c r="B29" s="222" t="s">
        <v>124</v>
      </c>
      <c r="C29" s="223" t="s">
        <v>134</v>
      </c>
      <c r="D29" s="317"/>
      <c r="E29" s="318">
        <v>19</v>
      </c>
      <c r="F29" s="216"/>
      <c r="G29" s="216"/>
      <c r="H29" s="316" t="s">
        <v>156</v>
      </c>
      <c r="I29" s="243"/>
      <c r="J29" s="217"/>
      <c r="K29" s="218"/>
      <c r="L29" s="218"/>
      <c r="M29" s="219"/>
      <c r="N29" s="187">
        <v>3</v>
      </c>
      <c r="O29" s="187" t="str">
        <f t="shared" si="0"/>
        <v>사</v>
      </c>
      <c r="P29" s="156" t="str">
        <f t="shared" si="1"/>
        <v>대사</v>
      </c>
      <c r="Q29" s="157"/>
      <c r="R29" s="321">
        <v>95400</v>
      </c>
      <c r="S29" s="321">
        <f t="shared" si="16"/>
        <v>95400</v>
      </c>
      <c r="T29" s="321">
        <f t="shared" si="17"/>
        <v>0</v>
      </c>
      <c r="U29" s="321">
        <f t="shared" si="18"/>
        <v>1812600</v>
      </c>
      <c r="V29" s="322">
        <f t="shared" si="12"/>
        <v>3625200</v>
      </c>
      <c r="W29" s="322">
        <f t="shared" si="2"/>
        <v>5437800</v>
      </c>
      <c r="X29" s="322">
        <f t="shared" si="2"/>
        <v>7250400</v>
      </c>
    </row>
    <row r="30" spans="1:24" s="158" customFormat="1" ht="24.95" customHeight="1">
      <c r="A30" s="323">
        <f t="shared" si="13"/>
        <v>28</v>
      </c>
      <c r="B30" s="222" t="s">
        <v>125</v>
      </c>
      <c r="C30" s="223" t="s">
        <v>133</v>
      </c>
      <c r="D30" s="317"/>
      <c r="E30" s="318">
        <v>6</v>
      </c>
      <c r="F30" s="216"/>
      <c r="G30" s="216"/>
      <c r="H30" s="316" t="s">
        <v>159</v>
      </c>
      <c r="I30" s="243"/>
      <c r="J30" s="217"/>
      <c r="K30" s="218"/>
      <c r="L30" s="218"/>
      <c r="M30" s="219"/>
      <c r="N30" s="187">
        <v>3</v>
      </c>
      <c r="O30" s="187" t="str">
        <f t="shared" ref="O30:O61" si="20">IF(N30=1,"국",IF(N30=2,"공","사"))</f>
        <v>사</v>
      </c>
      <c r="P30" s="156" t="str">
        <f t="shared" ref="P30:P61" si="21">CONCATENATE(C30,O30)</f>
        <v>도사</v>
      </c>
      <c r="Q30" s="157"/>
      <c r="R30" s="321">
        <v>21400</v>
      </c>
      <c r="S30" s="321">
        <f t="shared" ref="S30:S61" si="22">IF(N30=3,R30,)</f>
        <v>21400</v>
      </c>
      <c r="T30" s="321">
        <f t="shared" ref="T30:T61" si="23">IF(OR(N30=1,N30=2),R30,)</f>
        <v>0</v>
      </c>
      <c r="U30" s="321">
        <f t="shared" ref="U30:U61" si="24">S30*E30</f>
        <v>128400</v>
      </c>
      <c r="V30" s="322">
        <f t="shared" ref="V30:X61" si="25">ROUND($U30*V$2,0)</f>
        <v>256800</v>
      </c>
      <c r="W30" s="322">
        <f t="shared" si="25"/>
        <v>385200</v>
      </c>
      <c r="X30" s="322">
        <f t="shared" si="25"/>
        <v>513600</v>
      </c>
    </row>
    <row r="31" spans="1:24" s="158" customFormat="1" ht="24.95" customHeight="1">
      <c r="A31" s="323">
        <f t="shared" si="13"/>
        <v>29</v>
      </c>
      <c r="B31" s="222" t="s">
        <v>188</v>
      </c>
      <c r="C31" s="223" t="s">
        <v>181</v>
      </c>
      <c r="D31" s="317"/>
      <c r="E31" s="318">
        <v>342</v>
      </c>
      <c r="F31" s="216"/>
      <c r="G31" s="216"/>
      <c r="H31" s="316" t="s">
        <v>207</v>
      </c>
      <c r="I31" s="243"/>
      <c r="J31" s="217"/>
      <c r="K31" s="218"/>
      <c r="L31" s="218"/>
      <c r="M31" s="219"/>
      <c r="N31" s="187">
        <v>3</v>
      </c>
      <c r="O31" s="187" t="str">
        <f t="shared" si="20"/>
        <v>사</v>
      </c>
      <c r="P31" s="156" t="str">
        <f t="shared" si="21"/>
        <v>임사</v>
      </c>
      <c r="Q31" s="157"/>
      <c r="R31" s="321">
        <v>17600</v>
      </c>
      <c r="S31" s="321">
        <f t="shared" si="22"/>
        <v>17600</v>
      </c>
      <c r="T31" s="321">
        <f t="shared" si="23"/>
        <v>0</v>
      </c>
      <c r="U31" s="321">
        <f t="shared" si="24"/>
        <v>6019200</v>
      </c>
      <c r="V31" s="322">
        <f t="shared" si="25"/>
        <v>12038400</v>
      </c>
      <c r="W31" s="322">
        <f t="shared" si="25"/>
        <v>18057600</v>
      </c>
      <c r="X31" s="322">
        <f t="shared" si="25"/>
        <v>24076800</v>
      </c>
    </row>
    <row r="32" spans="1:24" s="158" customFormat="1" ht="24.95" customHeight="1">
      <c r="A32" s="323">
        <f t="shared" si="13"/>
        <v>30</v>
      </c>
      <c r="B32" s="222" t="s">
        <v>127</v>
      </c>
      <c r="C32" s="223" t="s">
        <v>133</v>
      </c>
      <c r="D32" s="317"/>
      <c r="E32" s="318">
        <v>1580</v>
      </c>
      <c r="F32" s="216"/>
      <c r="G32" s="216"/>
      <c r="H32" s="316" t="s">
        <v>162</v>
      </c>
      <c r="I32" s="243"/>
      <c r="J32" s="217"/>
      <c r="K32" s="218"/>
      <c r="L32" s="218"/>
      <c r="M32" s="219"/>
      <c r="N32" s="187">
        <v>3</v>
      </c>
      <c r="O32" s="187" t="str">
        <f t="shared" si="20"/>
        <v>사</v>
      </c>
      <c r="P32" s="156" t="str">
        <f t="shared" si="21"/>
        <v>도사</v>
      </c>
      <c r="Q32" s="157"/>
      <c r="R32" s="321">
        <v>5770</v>
      </c>
      <c r="S32" s="321">
        <f t="shared" si="22"/>
        <v>5770</v>
      </c>
      <c r="T32" s="321">
        <f t="shared" si="23"/>
        <v>0</v>
      </c>
      <c r="U32" s="321">
        <f t="shared" si="24"/>
        <v>9116600</v>
      </c>
      <c r="V32" s="322">
        <f t="shared" si="25"/>
        <v>18233200</v>
      </c>
      <c r="W32" s="322">
        <f t="shared" si="25"/>
        <v>27349800</v>
      </c>
      <c r="X32" s="322">
        <f t="shared" si="25"/>
        <v>36466400</v>
      </c>
    </row>
    <row r="33" spans="1:24" s="158" customFormat="1" ht="24.95" customHeight="1">
      <c r="A33" s="323">
        <f t="shared" si="13"/>
        <v>31</v>
      </c>
      <c r="B33" s="222" t="s">
        <v>189</v>
      </c>
      <c r="C33" s="223" t="s">
        <v>192</v>
      </c>
      <c r="D33" s="317"/>
      <c r="E33" s="318">
        <v>39</v>
      </c>
      <c r="F33" s="216"/>
      <c r="G33" s="216"/>
      <c r="H33" s="316" t="s">
        <v>208</v>
      </c>
      <c r="I33" s="243"/>
      <c r="J33" s="217"/>
      <c r="K33" s="218"/>
      <c r="L33" s="218"/>
      <c r="M33" s="219"/>
      <c r="N33" s="187">
        <v>3</v>
      </c>
      <c r="O33" s="187" t="str">
        <f t="shared" si="20"/>
        <v>사</v>
      </c>
      <c r="P33" s="156" t="str">
        <f t="shared" si="21"/>
        <v>대사</v>
      </c>
      <c r="Q33" s="157"/>
      <c r="R33" s="321">
        <v>96300</v>
      </c>
      <c r="S33" s="321">
        <f t="shared" si="22"/>
        <v>96300</v>
      </c>
      <c r="T33" s="321">
        <f t="shared" si="23"/>
        <v>0</v>
      </c>
      <c r="U33" s="321">
        <f t="shared" si="24"/>
        <v>3755700</v>
      </c>
      <c r="V33" s="322">
        <f t="shared" si="25"/>
        <v>7511400</v>
      </c>
      <c r="W33" s="322">
        <f t="shared" si="25"/>
        <v>11267100</v>
      </c>
      <c r="X33" s="322">
        <f t="shared" si="25"/>
        <v>15022800</v>
      </c>
    </row>
    <row r="34" spans="1:24" s="158" customFormat="1" ht="24.95" customHeight="1">
      <c r="A34" s="323">
        <f t="shared" si="13"/>
        <v>32</v>
      </c>
      <c r="B34" s="222" t="s">
        <v>190</v>
      </c>
      <c r="C34" s="223" t="s">
        <v>176</v>
      </c>
      <c r="D34" s="317"/>
      <c r="E34" s="318">
        <v>42</v>
      </c>
      <c r="F34" s="216"/>
      <c r="G34" s="216"/>
      <c r="H34" s="316" t="s">
        <v>204</v>
      </c>
      <c r="I34" s="243"/>
      <c r="J34" s="217"/>
      <c r="K34" s="218"/>
      <c r="L34" s="218"/>
      <c r="M34" s="219"/>
      <c r="N34" s="187">
        <v>3</v>
      </c>
      <c r="O34" s="187" t="str">
        <f t="shared" si="20"/>
        <v>사</v>
      </c>
      <c r="P34" s="156" t="str">
        <f t="shared" si="21"/>
        <v>도사</v>
      </c>
      <c r="Q34" s="157"/>
      <c r="R34" s="321">
        <v>21400</v>
      </c>
      <c r="S34" s="321">
        <f t="shared" si="22"/>
        <v>21400</v>
      </c>
      <c r="T34" s="321">
        <f t="shared" si="23"/>
        <v>0</v>
      </c>
      <c r="U34" s="321">
        <f t="shared" si="24"/>
        <v>898800</v>
      </c>
      <c r="V34" s="322">
        <f t="shared" si="25"/>
        <v>1797600</v>
      </c>
      <c r="W34" s="322">
        <f t="shared" si="25"/>
        <v>2696400</v>
      </c>
      <c r="X34" s="322">
        <f t="shared" si="25"/>
        <v>3595200</v>
      </c>
    </row>
    <row r="35" spans="1:24" s="158" customFormat="1" ht="24.95" customHeight="1">
      <c r="A35" s="323">
        <f t="shared" si="13"/>
        <v>33</v>
      </c>
      <c r="B35" s="222" t="s">
        <v>191</v>
      </c>
      <c r="C35" s="223" t="s">
        <v>192</v>
      </c>
      <c r="D35" s="317"/>
      <c r="E35" s="318">
        <v>180</v>
      </c>
      <c r="F35" s="216"/>
      <c r="G35" s="216"/>
      <c r="H35" s="316" t="s">
        <v>209</v>
      </c>
      <c r="I35" s="243"/>
      <c r="J35" s="217"/>
      <c r="K35" s="218"/>
      <c r="L35" s="218"/>
      <c r="M35" s="219"/>
      <c r="N35" s="187">
        <v>3</v>
      </c>
      <c r="O35" s="187" t="str">
        <f t="shared" si="20"/>
        <v>사</v>
      </c>
      <c r="P35" s="156" t="str">
        <f t="shared" si="21"/>
        <v>대사</v>
      </c>
      <c r="Q35" s="157"/>
      <c r="R35" s="321">
        <v>65000</v>
      </c>
      <c r="S35" s="321">
        <f t="shared" si="22"/>
        <v>65000</v>
      </c>
      <c r="T35" s="321">
        <f t="shared" si="23"/>
        <v>0</v>
      </c>
      <c r="U35" s="321">
        <f t="shared" si="24"/>
        <v>11700000</v>
      </c>
      <c r="V35" s="322">
        <f t="shared" si="25"/>
        <v>23400000</v>
      </c>
      <c r="W35" s="322">
        <f t="shared" si="25"/>
        <v>35100000</v>
      </c>
      <c r="X35" s="322">
        <f t="shared" si="25"/>
        <v>46800000</v>
      </c>
    </row>
    <row r="36" spans="1:24" s="158" customFormat="1" ht="24.95" customHeight="1">
      <c r="A36" s="323">
        <f t="shared" si="13"/>
        <v>34</v>
      </c>
      <c r="B36" s="222" t="s">
        <v>129</v>
      </c>
      <c r="C36" s="223" t="s">
        <v>132</v>
      </c>
      <c r="D36" s="317"/>
      <c r="E36" s="318">
        <v>167</v>
      </c>
      <c r="F36" s="216"/>
      <c r="G36" s="216"/>
      <c r="H36" s="316" t="s">
        <v>162</v>
      </c>
      <c r="I36" s="243"/>
      <c r="J36" s="217"/>
      <c r="K36" s="218"/>
      <c r="L36" s="218"/>
      <c r="M36" s="219"/>
      <c r="N36" s="187">
        <v>3</v>
      </c>
      <c r="O36" s="187" t="str">
        <f t="shared" si="20"/>
        <v>사</v>
      </c>
      <c r="P36" s="156" t="str">
        <f t="shared" si="21"/>
        <v>임사</v>
      </c>
      <c r="Q36" s="157"/>
      <c r="R36" s="321">
        <v>20500</v>
      </c>
      <c r="S36" s="321">
        <f t="shared" si="22"/>
        <v>20500</v>
      </c>
      <c r="T36" s="321">
        <f t="shared" si="23"/>
        <v>0</v>
      </c>
      <c r="U36" s="321">
        <f t="shared" si="24"/>
        <v>3423500</v>
      </c>
      <c r="V36" s="322">
        <f t="shared" si="25"/>
        <v>6847000</v>
      </c>
      <c r="W36" s="322">
        <f t="shared" si="25"/>
        <v>10270500</v>
      </c>
      <c r="X36" s="322">
        <f t="shared" si="25"/>
        <v>13694000</v>
      </c>
    </row>
    <row r="37" spans="1:24" s="158" customFormat="1" ht="24.95" customHeight="1">
      <c r="A37" s="323">
        <f t="shared" si="13"/>
        <v>35</v>
      </c>
      <c r="B37" s="222" t="s">
        <v>128</v>
      </c>
      <c r="C37" s="223" t="s">
        <v>133</v>
      </c>
      <c r="D37" s="317"/>
      <c r="E37" s="318">
        <v>15</v>
      </c>
      <c r="F37" s="216"/>
      <c r="G37" s="216"/>
      <c r="H37" s="316" t="s">
        <v>158</v>
      </c>
      <c r="I37" s="243"/>
      <c r="J37" s="217"/>
      <c r="K37" s="218"/>
      <c r="L37" s="218"/>
      <c r="M37" s="219"/>
      <c r="N37" s="187">
        <v>3</v>
      </c>
      <c r="O37" s="187" t="str">
        <f t="shared" si="20"/>
        <v>사</v>
      </c>
      <c r="P37" s="156" t="str">
        <f t="shared" si="21"/>
        <v>도사</v>
      </c>
      <c r="Q37" s="157"/>
      <c r="R37" s="321">
        <v>5770</v>
      </c>
      <c r="S37" s="321">
        <f t="shared" si="22"/>
        <v>5770</v>
      </c>
      <c r="T37" s="321">
        <f t="shared" si="23"/>
        <v>0</v>
      </c>
      <c r="U37" s="321">
        <f t="shared" si="24"/>
        <v>86550</v>
      </c>
      <c r="V37" s="322">
        <f t="shared" si="25"/>
        <v>173100</v>
      </c>
      <c r="W37" s="322">
        <f t="shared" si="25"/>
        <v>259650</v>
      </c>
      <c r="X37" s="322">
        <f t="shared" si="25"/>
        <v>346200</v>
      </c>
    </row>
    <row r="38" spans="1:24" s="158" customFormat="1" ht="24.95" customHeight="1">
      <c r="A38" s="323">
        <f t="shared" si="13"/>
        <v>36</v>
      </c>
      <c r="B38" s="222" t="s">
        <v>193</v>
      </c>
      <c r="C38" s="223" t="s">
        <v>199</v>
      </c>
      <c r="D38" s="317"/>
      <c r="E38" s="318">
        <v>67</v>
      </c>
      <c r="F38" s="216"/>
      <c r="G38" s="216"/>
      <c r="H38" s="316" t="s">
        <v>210</v>
      </c>
      <c r="I38" s="243"/>
      <c r="J38" s="217"/>
      <c r="K38" s="218"/>
      <c r="L38" s="218"/>
      <c r="M38" s="219"/>
      <c r="N38" s="187">
        <v>3</v>
      </c>
      <c r="O38" s="187" t="str">
        <f t="shared" si="20"/>
        <v>사</v>
      </c>
      <c r="P38" s="156" t="str">
        <f t="shared" si="21"/>
        <v>전사</v>
      </c>
      <c r="Q38" s="157"/>
      <c r="R38" s="321">
        <v>98100</v>
      </c>
      <c r="S38" s="321">
        <f t="shared" si="22"/>
        <v>98100</v>
      </c>
      <c r="T38" s="321">
        <f t="shared" si="23"/>
        <v>0</v>
      </c>
      <c r="U38" s="321">
        <f t="shared" si="24"/>
        <v>6572700</v>
      </c>
      <c r="V38" s="322">
        <f t="shared" si="25"/>
        <v>13145400</v>
      </c>
      <c r="W38" s="322">
        <f t="shared" si="25"/>
        <v>19718100</v>
      </c>
      <c r="X38" s="322">
        <f t="shared" si="25"/>
        <v>26290800</v>
      </c>
    </row>
    <row r="39" spans="1:24" s="158" customFormat="1" ht="24.95" customHeight="1">
      <c r="A39" s="323">
        <f t="shared" si="13"/>
        <v>37</v>
      </c>
      <c r="B39" s="222">
        <v>827</v>
      </c>
      <c r="C39" s="223" t="s">
        <v>199</v>
      </c>
      <c r="D39" s="317"/>
      <c r="E39" s="318">
        <v>19</v>
      </c>
      <c r="F39" s="216"/>
      <c r="G39" s="216"/>
      <c r="H39" s="316" t="s">
        <v>210</v>
      </c>
      <c r="I39" s="243"/>
      <c r="J39" s="217"/>
      <c r="K39" s="218"/>
      <c r="L39" s="218"/>
      <c r="M39" s="219"/>
      <c r="N39" s="187">
        <v>3</v>
      </c>
      <c r="O39" s="187" t="str">
        <f t="shared" si="20"/>
        <v>사</v>
      </c>
      <c r="P39" s="156" t="str">
        <f t="shared" si="21"/>
        <v>전사</v>
      </c>
      <c r="Q39" s="157"/>
      <c r="R39" s="321">
        <v>98100</v>
      </c>
      <c r="S39" s="321">
        <f t="shared" si="22"/>
        <v>98100</v>
      </c>
      <c r="T39" s="321">
        <f t="shared" si="23"/>
        <v>0</v>
      </c>
      <c r="U39" s="321">
        <f t="shared" si="24"/>
        <v>1863900</v>
      </c>
      <c r="V39" s="322">
        <f t="shared" si="25"/>
        <v>3727800</v>
      </c>
      <c r="W39" s="322">
        <f t="shared" si="25"/>
        <v>5591700</v>
      </c>
      <c r="X39" s="322">
        <f t="shared" si="25"/>
        <v>7455600</v>
      </c>
    </row>
    <row r="40" spans="1:24" s="158" customFormat="1" ht="24.95" customHeight="1">
      <c r="A40" s="215">
        <f t="shared" si="13"/>
        <v>38</v>
      </c>
      <c r="B40" s="222" t="s">
        <v>194</v>
      </c>
      <c r="C40" s="223" t="s">
        <v>199</v>
      </c>
      <c r="D40" s="317"/>
      <c r="E40" s="318">
        <v>308</v>
      </c>
      <c r="F40" s="216"/>
      <c r="G40" s="216"/>
      <c r="H40" s="316" t="s">
        <v>211</v>
      </c>
      <c r="I40" s="243"/>
      <c r="J40" s="217"/>
      <c r="K40" s="218"/>
      <c r="L40" s="218"/>
      <c r="M40" s="219"/>
      <c r="N40" s="187">
        <v>3</v>
      </c>
      <c r="O40" s="187" t="str">
        <f t="shared" si="20"/>
        <v>사</v>
      </c>
      <c r="P40" s="156" t="str">
        <f t="shared" si="21"/>
        <v>전사</v>
      </c>
      <c r="Q40" s="157"/>
      <c r="R40" s="321">
        <v>60000</v>
      </c>
      <c r="S40" s="321">
        <f t="shared" si="22"/>
        <v>60000</v>
      </c>
      <c r="T40" s="321">
        <f t="shared" si="23"/>
        <v>0</v>
      </c>
      <c r="U40" s="321">
        <f t="shared" si="24"/>
        <v>18480000</v>
      </c>
      <c r="V40" s="322">
        <f t="shared" si="25"/>
        <v>36960000</v>
      </c>
      <c r="W40" s="322">
        <f t="shared" si="25"/>
        <v>55440000</v>
      </c>
      <c r="X40" s="322">
        <f t="shared" si="25"/>
        <v>73920000</v>
      </c>
    </row>
    <row r="41" spans="1:24" s="158" customFormat="1" ht="24.95" customHeight="1">
      <c r="A41" s="215">
        <f t="shared" si="13"/>
        <v>39</v>
      </c>
      <c r="B41" s="222" t="s">
        <v>195</v>
      </c>
      <c r="C41" s="223" t="s">
        <v>199</v>
      </c>
      <c r="D41" s="317"/>
      <c r="E41" s="318">
        <v>26</v>
      </c>
      <c r="F41" s="216"/>
      <c r="G41" s="216"/>
      <c r="H41" s="316" t="s">
        <v>206</v>
      </c>
      <c r="I41" s="243"/>
      <c r="J41" s="217"/>
      <c r="K41" s="218"/>
      <c r="L41" s="218"/>
      <c r="M41" s="219"/>
      <c r="N41" s="187">
        <v>3</v>
      </c>
      <c r="O41" s="187" t="str">
        <f t="shared" si="20"/>
        <v>사</v>
      </c>
      <c r="P41" s="156" t="str">
        <f t="shared" si="21"/>
        <v>전사</v>
      </c>
      <c r="Q41" s="157"/>
      <c r="R41" s="321">
        <v>74800</v>
      </c>
      <c r="S41" s="321">
        <f t="shared" si="22"/>
        <v>74800</v>
      </c>
      <c r="T41" s="321">
        <f t="shared" si="23"/>
        <v>0</v>
      </c>
      <c r="U41" s="321">
        <f t="shared" si="24"/>
        <v>1944800</v>
      </c>
      <c r="V41" s="322">
        <f t="shared" si="25"/>
        <v>3889600</v>
      </c>
      <c r="W41" s="322">
        <f t="shared" si="25"/>
        <v>5834400</v>
      </c>
      <c r="X41" s="322">
        <f t="shared" si="25"/>
        <v>7779200</v>
      </c>
    </row>
    <row r="42" spans="1:24" s="158" customFormat="1" ht="24.95" customHeight="1">
      <c r="A42" s="215">
        <f t="shared" si="13"/>
        <v>40</v>
      </c>
      <c r="B42" s="222" t="s">
        <v>196</v>
      </c>
      <c r="C42" s="223" t="s">
        <v>199</v>
      </c>
      <c r="D42" s="317"/>
      <c r="E42" s="318">
        <v>92</v>
      </c>
      <c r="F42" s="216"/>
      <c r="G42" s="216"/>
      <c r="H42" s="316" t="s">
        <v>210</v>
      </c>
      <c r="I42" s="243"/>
      <c r="J42" s="217"/>
      <c r="K42" s="218"/>
      <c r="L42" s="218"/>
      <c r="M42" s="219"/>
      <c r="N42" s="187">
        <v>3</v>
      </c>
      <c r="O42" s="187" t="str">
        <f t="shared" si="20"/>
        <v>사</v>
      </c>
      <c r="P42" s="156" t="str">
        <f t="shared" si="21"/>
        <v>전사</v>
      </c>
      <c r="Q42" s="157"/>
      <c r="R42" s="321">
        <v>74800</v>
      </c>
      <c r="S42" s="321">
        <f t="shared" si="22"/>
        <v>74800</v>
      </c>
      <c r="T42" s="321">
        <f t="shared" si="23"/>
        <v>0</v>
      </c>
      <c r="U42" s="321">
        <f t="shared" si="24"/>
        <v>6881600</v>
      </c>
      <c r="V42" s="322">
        <f t="shared" si="25"/>
        <v>13763200</v>
      </c>
      <c r="W42" s="322">
        <f t="shared" si="25"/>
        <v>20644800</v>
      </c>
      <c r="X42" s="322">
        <f t="shared" si="25"/>
        <v>27526400</v>
      </c>
    </row>
    <row r="43" spans="1:24" s="158" customFormat="1" ht="24.95" customHeight="1">
      <c r="A43" s="215">
        <f t="shared" si="13"/>
        <v>41</v>
      </c>
      <c r="B43" s="222" t="s">
        <v>197</v>
      </c>
      <c r="C43" s="223" t="s">
        <v>199</v>
      </c>
      <c r="D43" s="317"/>
      <c r="E43" s="318">
        <v>33</v>
      </c>
      <c r="F43" s="216"/>
      <c r="G43" s="216"/>
      <c r="H43" s="316" t="s">
        <v>212</v>
      </c>
      <c r="I43" s="243"/>
      <c r="J43" s="217"/>
      <c r="K43" s="218"/>
      <c r="L43" s="218"/>
      <c r="M43" s="219"/>
      <c r="N43" s="187">
        <v>3</v>
      </c>
      <c r="O43" s="187" t="str">
        <f t="shared" si="20"/>
        <v>사</v>
      </c>
      <c r="P43" s="156" t="str">
        <f t="shared" si="21"/>
        <v>전사</v>
      </c>
      <c r="Q43" s="157"/>
      <c r="R43" s="321">
        <v>76500</v>
      </c>
      <c r="S43" s="321">
        <f t="shared" si="22"/>
        <v>76500</v>
      </c>
      <c r="T43" s="321">
        <f t="shared" si="23"/>
        <v>0</v>
      </c>
      <c r="U43" s="321">
        <f t="shared" si="24"/>
        <v>2524500</v>
      </c>
      <c r="V43" s="322">
        <f t="shared" si="25"/>
        <v>5049000</v>
      </c>
      <c r="W43" s="322">
        <f t="shared" si="25"/>
        <v>7573500</v>
      </c>
      <c r="X43" s="322">
        <f t="shared" si="25"/>
        <v>10098000</v>
      </c>
    </row>
    <row r="44" spans="1:24" s="158" customFormat="1" ht="24.95" customHeight="1">
      <c r="A44" s="215">
        <f t="shared" si="13"/>
        <v>42</v>
      </c>
      <c r="B44" s="222">
        <v>822</v>
      </c>
      <c r="C44" s="223" t="s">
        <v>199</v>
      </c>
      <c r="D44" s="317"/>
      <c r="E44" s="318">
        <v>42</v>
      </c>
      <c r="F44" s="216"/>
      <c r="G44" s="216"/>
      <c r="H44" s="316" t="s">
        <v>213</v>
      </c>
      <c r="I44" s="243"/>
      <c r="J44" s="217"/>
      <c r="K44" s="218"/>
      <c r="L44" s="218"/>
      <c r="M44" s="219"/>
      <c r="N44" s="187">
        <v>3</v>
      </c>
      <c r="O44" s="187" t="str">
        <f t="shared" si="20"/>
        <v>사</v>
      </c>
      <c r="P44" s="156" t="str">
        <f t="shared" si="21"/>
        <v>전사</v>
      </c>
      <c r="Q44" s="157"/>
      <c r="R44" s="321">
        <v>76500</v>
      </c>
      <c r="S44" s="321">
        <f t="shared" si="22"/>
        <v>76500</v>
      </c>
      <c r="T44" s="321">
        <f t="shared" si="23"/>
        <v>0</v>
      </c>
      <c r="U44" s="321">
        <f t="shared" si="24"/>
        <v>3213000</v>
      </c>
      <c r="V44" s="322">
        <f t="shared" si="25"/>
        <v>6426000</v>
      </c>
      <c r="W44" s="322">
        <f t="shared" si="25"/>
        <v>9639000</v>
      </c>
      <c r="X44" s="322">
        <f t="shared" si="25"/>
        <v>12852000</v>
      </c>
    </row>
    <row r="45" spans="1:24" s="158" customFormat="1" ht="24.95" customHeight="1">
      <c r="A45" s="215">
        <f t="shared" si="13"/>
        <v>43</v>
      </c>
      <c r="B45" s="222" t="s">
        <v>198</v>
      </c>
      <c r="C45" s="223" t="s">
        <v>192</v>
      </c>
      <c r="D45" s="317"/>
      <c r="E45" s="318">
        <v>12</v>
      </c>
      <c r="F45" s="216"/>
      <c r="G45" s="216"/>
      <c r="H45" s="316" t="s">
        <v>199</v>
      </c>
      <c r="I45" s="243"/>
      <c r="J45" s="217"/>
      <c r="K45" s="218"/>
      <c r="L45" s="218"/>
      <c r="M45" s="219"/>
      <c r="N45" s="187">
        <v>3</v>
      </c>
      <c r="O45" s="187" t="str">
        <f t="shared" si="20"/>
        <v>사</v>
      </c>
      <c r="P45" s="156" t="str">
        <f t="shared" si="21"/>
        <v>대사</v>
      </c>
      <c r="Q45" s="157"/>
      <c r="R45" s="321">
        <v>125300</v>
      </c>
      <c r="S45" s="321">
        <f t="shared" si="22"/>
        <v>125300</v>
      </c>
      <c r="T45" s="321">
        <f t="shared" si="23"/>
        <v>0</v>
      </c>
      <c r="U45" s="321">
        <f t="shared" si="24"/>
        <v>1503600</v>
      </c>
      <c r="V45" s="322">
        <f t="shared" si="25"/>
        <v>3007200</v>
      </c>
      <c r="W45" s="322">
        <f t="shared" si="25"/>
        <v>4510800</v>
      </c>
      <c r="X45" s="322">
        <f t="shared" si="25"/>
        <v>6014400</v>
      </c>
    </row>
    <row r="46" spans="1:24" s="158" customFormat="1" ht="24.95" customHeight="1">
      <c r="A46" s="215">
        <f t="shared" si="13"/>
        <v>44</v>
      </c>
      <c r="B46" s="222">
        <v>844</v>
      </c>
      <c r="C46" s="223" t="s">
        <v>133</v>
      </c>
      <c r="D46" s="317"/>
      <c r="E46" s="318">
        <v>121</v>
      </c>
      <c r="F46" s="216"/>
      <c r="G46" s="216"/>
      <c r="H46" s="316" t="s">
        <v>154</v>
      </c>
      <c r="I46" s="243"/>
      <c r="J46" s="217"/>
      <c r="K46" s="218"/>
      <c r="L46" s="218"/>
      <c r="M46" s="219"/>
      <c r="N46" s="187">
        <v>3</v>
      </c>
      <c r="O46" s="187" t="str">
        <f t="shared" si="20"/>
        <v>사</v>
      </c>
      <c r="P46" s="156" t="str">
        <f t="shared" si="21"/>
        <v>도사</v>
      </c>
      <c r="Q46" s="157"/>
      <c r="R46" s="321">
        <v>18100</v>
      </c>
      <c r="S46" s="321">
        <f t="shared" si="22"/>
        <v>18100</v>
      </c>
      <c r="T46" s="321">
        <f t="shared" si="23"/>
        <v>0</v>
      </c>
      <c r="U46" s="321">
        <f t="shared" si="24"/>
        <v>2190100</v>
      </c>
      <c r="V46" s="322">
        <f t="shared" si="25"/>
        <v>4380200</v>
      </c>
      <c r="W46" s="322">
        <f t="shared" si="25"/>
        <v>6570300</v>
      </c>
      <c r="X46" s="322">
        <f t="shared" si="25"/>
        <v>8760400</v>
      </c>
    </row>
    <row r="47" spans="1:24" s="158" customFormat="1" ht="24.95" customHeight="1">
      <c r="A47" s="215">
        <f t="shared" si="13"/>
        <v>45</v>
      </c>
      <c r="B47" s="222" t="s">
        <v>135</v>
      </c>
      <c r="C47" s="223" t="s">
        <v>131</v>
      </c>
      <c r="D47" s="317"/>
      <c r="E47" s="318">
        <v>111</v>
      </c>
      <c r="F47" s="216"/>
      <c r="G47" s="216"/>
      <c r="H47" s="316" t="s">
        <v>154</v>
      </c>
      <c r="I47" s="243"/>
      <c r="J47" s="217"/>
      <c r="K47" s="218"/>
      <c r="L47" s="218"/>
      <c r="M47" s="219"/>
      <c r="N47" s="187">
        <v>3</v>
      </c>
      <c r="O47" s="187" t="str">
        <f t="shared" si="20"/>
        <v>사</v>
      </c>
      <c r="P47" s="156" t="str">
        <f t="shared" si="21"/>
        <v>답사</v>
      </c>
      <c r="Q47" s="157"/>
      <c r="R47" s="321">
        <v>60700</v>
      </c>
      <c r="S47" s="321">
        <f t="shared" si="22"/>
        <v>60700</v>
      </c>
      <c r="T47" s="321">
        <f t="shared" si="23"/>
        <v>0</v>
      </c>
      <c r="U47" s="321">
        <f t="shared" si="24"/>
        <v>6737700</v>
      </c>
      <c r="V47" s="322">
        <f t="shared" si="25"/>
        <v>13475400</v>
      </c>
      <c r="W47" s="322">
        <f t="shared" si="25"/>
        <v>20213100</v>
      </c>
      <c r="X47" s="322">
        <f t="shared" si="25"/>
        <v>26950800</v>
      </c>
    </row>
    <row r="48" spans="1:24" s="158" customFormat="1" ht="24.95" customHeight="1">
      <c r="A48" s="215">
        <f t="shared" si="13"/>
        <v>46</v>
      </c>
      <c r="B48" s="222">
        <v>846</v>
      </c>
      <c r="C48" s="223" t="s">
        <v>133</v>
      </c>
      <c r="D48" s="317"/>
      <c r="E48" s="318">
        <v>86</v>
      </c>
      <c r="F48" s="216"/>
      <c r="G48" s="216"/>
      <c r="H48" s="316" t="s">
        <v>159</v>
      </c>
      <c r="I48" s="243"/>
      <c r="J48" s="217"/>
      <c r="K48" s="218"/>
      <c r="L48" s="218"/>
      <c r="M48" s="219"/>
      <c r="N48" s="187">
        <v>3</v>
      </c>
      <c r="O48" s="187" t="str">
        <f t="shared" si="20"/>
        <v>사</v>
      </c>
      <c r="P48" s="156" t="str">
        <f t="shared" si="21"/>
        <v>도사</v>
      </c>
      <c r="Q48" s="157"/>
      <c r="R48" s="321">
        <v>18100</v>
      </c>
      <c r="S48" s="321">
        <f t="shared" si="22"/>
        <v>18100</v>
      </c>
      <c r="T48" s="321">
        <f t="shared" si="23"/>
        <v>0</v>
      </c>
      <c r="U48" s="321">
        <f t="shared" si="24"/>
        <v>1556600</v>
      </c>
      <c r="V48" s="322">
        <f t="shared" si="25"/>
        <v>3113200</v>
      </c>
      <c r="W48" s="322">
        <f t="shared" si="25"/>
        <v>4669800</v>
      </c>
      <c r="X48" s="322">
        <f t="shared" si="25"/>
        <v>6226400</v>
      </c>
    </row>
    <row r="49" spans="1:24" s="158" customFormat="1" ht="24.95" customHeight="1">
      <c r="A49" s="215">
        <f t="shared" si="13"/>
        <v>47</v>
      </c>
      <c r="B49" s="222" t="s">
        <v>136</v>
      </c>
      <c r="C49" s="223" t="s">
        <v>131</v>
      </c>
      <c r="D49" s="317"/>
      <c r="E49" s="318">
        <v>122</v>
      </c>
      <c r="F49" s="216"/>
      <c r="G49" s="216"/>
      <c r="H49" s="316" t="s">
        <v>159</v>
      </c>
      <c r="I49" s="243"/>
      <c r="J49" s="217"/>
      <c r="K49" s="218"/>
      <c r="L49" s="218"/>
      <c r="M49" s="219"/>
      <c r="N49" s="187">
        <v>3</v>
      </c>
      <c r="O49" s="187" t="str">
        <f t="shared" si="20"/>
        <v>사</v>
      </c>
      <c r="P49" s="156" t="str">
        <f t="shared" si="21"/>
        <v>답사</v>
      </c>
      <c r="Q49" s="157"/>
      <c r="R49" s="321">
        <v>58900</v>
      </c>
      <c r="S49" s="321">
        <f t="shared" si="22"/>
        <v>58900</v>
      </c>
      <c r="T49" s="321">
        <f t="shared" si="23"/>
        <v>0</v>
      </c>
      <c r="U49" s="321">
        <f t="shared" si="24"/>
        <v>7185800</v>
      </c>
      <c r="V49" s="322">
        <f t="shared" si="25"/>
        <v>14371600</v>
      </c>
      <c r="W49" s="322">
        <f t="shared" si="25"/>
        <v>21557400</v>
      </c>
      <c r="X49" s="322">
        <f t="shared" si="25"/>
        <v>28743200</v>
      </c>
    </row>
    <row r="50" spans="1:24" s="158" customFormat="1" ht="24.95" customHeight="1">
      <c r="A50" s="215">
        <f t="shared" si="13"/>
        <v>48</v>
      </c>
      <c r="B50" s="222">
        <v>843</v>
      </c>
      <c r="C50" s="223" t="s">
        <v>131</v>
      </c>
      <c r="D50" s="317"/>
      <c r="E50" s="318">
        <v>55</v>
      </c>
      <c r="F50" s="216"/>
      <c r="G50" s="216"/>
      <c r="H50" s="316" t="s">
        <v>164</v>
      </c>
      <c r="I50" s="243"/>
      <c r="J50" s="217"/>
      <c r="K50" s="218"/>
      <c r="L50" s="218"/>
      <c r="M50" s="219"/>
      <c r="N50" s="187">
        <v>3</v>
      </c>
      <c r="O50" s="187" t="str">
        <f t="shared" si="20"/>
        <v>사</v>
      </c>
      <c r="P50" s="156" t="str">
        <f t="shared" si="21"/>
        <v>답사</v>
      </c>
      <c r="Q50" s="157"/>
      <c r="R50" s="321">
        <v>49100</v>
      </c>
      <c r="S50" s="321">
        <f t="shared" si="22"/>
        <v>49100</v>
      </c>
      <c r="T50" s="321">
        <f t="shared" si="23"/>
        <v>0</v>
      </c>
      <c r="U50" s="321">
        <f t="shared" si="24"/>
        <v>2700500</v>
      </c>
      <c r="V50" s="322">
        <f t="shared" si="25"/>
        <v>5401000</v>
      </c>
      <c r="W50" s="322">
        <f t="shared" si="25"/>
        <v>8101500</v>
      </c>
      <c r="X50" s="322">
        <f t="shared" si="25"/>
        <v>10802000</v>
      </c>
    </row>
    <row r="51" spans="1:24" s="158" customFormat="1" ht="24.95" customHeight="1">
      <c r="A51" s="215">
        <f t="shared" si="13"/>
        <v>49</v>
      </c>
      <c r="B51" s="222">
        <v>845</v>
      </c>
      <c r="C51" s="223" t="s">
        <v>131</v>
      </c>
      <c r="D51" s="317"/>
      <c r="E51" s="318">
        <v>56</v>
      </c>
      <c r="F51" s="216"/>
      <c r="G51" s="216"/>
      <c r="H51" s="316" t="s">
        <v>165</v>
      </c>
      <c r="I51" s="243"/>
      <c r="J51" s="217"/>
      <c r="K51" s="218"/>
      <c r="L51" s="218"/>
      <c r="M51" s="219"/>
      <c r="N51" s="187">
        <v>3</v>
      </c>
      <c r="O51" s="187" t="str">
        <f t="shared" si="20"/>
        <v>사</v>
      </c>
      <c r="P51" s="156" t="str">
        <f t="shared" si="21"/>
        <v>답사</v>
      </c>
      <c r="Q51" s="157"/>
      <c r="R51" s="321">
        <v>52800</v>
      </c>
      <c r="S51" s="321">
        <f t="shared" si="22"/>
        <v>52800</v>
      </c>
      <c r="T51" s="321">
        <f t="shared" si="23"/>
        <v>0</v>
      </c>
      <c r="U51" s="321">
        <f t="shared" si="24"/>
        <v>2956800</v>
      </c>
      <c r="V51" s="322">
        <f t="shared" si="25"/>
        <v>5913600</v>
      </c>
      <c r="W51" s="322">
        <f t="shared" si="25"/>
        <v>8870400</v>
      </c>
      <c r="X51" s="322">
        <f t="shared" si="25"/>
        <v>11827200</v>
      </c>
    </row>
    <row r="52" spans="1:24" s="158" customFormat="1" ht="24.95" customHeight="1">
      <c r="A52" s="215">
        <f t="shared" si="13"/>
        <v>50</v>
      </c>
      <c r="B52" s="222">
        <v>851</v>
      </c>
      <c r="C52" s="223" t="s">
        <v>131</v>
      </c>
      <c r="D52" s="317"/>
      <c r="E52" s="318">
        <v>110</v>
      </c>
      <c r="F52" s="216"/>
      <c r="G52" s="216"/>
      <c r="H52" s="316" t="s">
        <v>166</v>
      </c>
      <c r="I52" s="243"/>
      <c r="J52" s="217"/>
      <c r="K52" s="218"/>
      <c r="L52" s="218"/>
      <c r="M52" s="219"/>
      <c r="N52" s="187">
        <v>3</v>
      </c>
      <c r="O52" s="187" t="str">
        <f t="shared" si="20"/>
        <v>사</v>
      </c>
      <c r="P52" s="156" t="str">
        <f t="shared" si="21"/>
        <v>답사</v>
      </c>
      <c r="Q52" s="157"/>
      <c r="R52" s="321">
        <v>52400</v>
      </c>
      <c r="S52" s="321">
        <f t="shared" si="22"/>
        <v>52400</v>
      </c>
      <c r="T52" s="321">
        <f t="shared" si="23"/>
        <v>0</v>
      </c>
      <c r="U52" s="321">
        <f t="shared" si="24"/>
        <v>5764000</v>
      </c>
      <c r="V52" s="322">
        <f t="shared" si="25"/>
        <v>11528000</v>
      </c>
      <c r="W52" s="322">
        <f t="shared" si="25"/>
        <v>17292000</v>
      </c>
      <c r="X52" s="322">
        <f t="shared" si="25"/>
        <v>23056000</v>
      </c>
    </row>
    <row r="53" spans="1:24" s="158" customFormat="1" ht="24.95" customHeight="1">
      <c r="A53" s="215">
        <f t="shared" si="13"/>
        <v>51</v>
      </c>
      <c r="B53" s="222">
        <v>821</v>
      </c>
      <c r="C53" s="223" t="s">
        <v>192</v>
      </c>
      <c r="D53" s="317"/>
      <c r="E53" s="318">
        <v>20</v>
      </c>
      <c r="F53" s="216"/>
      <c r="G53" s="216"/>
      <c r="H53" s="316" t="s">
        <v>199</v>
      </c>
      <c r="I53" s="243"/>
      <c r="J53" s="217"/>
      <c r="K53" s="218"/>
      <c r="L53" s="218"/>
      <c r="M53" s="219"/>
      <c r="N53" s="187">
        <v>3</v>
      </c>
      <c r="O53" s="187" t="str">
        <f t="shared" si="20"/>
        <v>사</v>
      </c>
      <c r="P53" s="156" t="str">
        <f t="shared" si="21"/>
        <v>대사</v>
      </c>
      <c r="Q53" s="157"/>
      <c r="R53" s="321">
        <v>125300</v>
      </c>
      <c r="S53" s="321">
        <f t="shared" si="22"/>
        <v>125300</v>
      </c>
      <c r="T53" s="321">
        <f t="shared" si="23"/>
        <v>0</v>
      </c>
      <c r="U53" s="321">
        <f t="shared" si="24"/>
        <v>2506000</v>
      </c>
      <c r="V53" s="322">
        <f t="shared" si="25"/>
        <v>5012000</v>
      </c>
      <c r="W53" s="322">
        <f t="shared" si="25"/>
        <v>7518000</v>
      </c>
      <c r="X53" s="322">
        <f t="shared" si="25"/>
        <v>10024000</v>
      </c>
    </row>
    <row r="54" spans="1:24" s="158" customFormat="1" ht="24.95" customHeight="1">
      <c r="A54" s="215">
        <f t="shared" si="13"/>
        <v>52</v>
      </c>
      <c r="B54" s="222">
        <v>847</v>
      </c>
      <c r="C54" s="223" t="s">
        <v>199</v>
      </c>
      <c r="D54" s="317"/>
      <c r="E54" s="318">
        <v>31</v>
      </c>
      <c r="F54" s="216"/>
      <c r="G54" s="216"/>
      <c r="H54" s="316" t="s">
        <v>214</v>
      </c>
      <c r="I54" s="243"/>
      <c r="J54" s="217"/>
      <c r="K54" s="218"/>
      <c r="L54" s="218"/>
      <c r="M54" s="219"/>
      <c r="N54" s="187">
        <v>3</v>
      </c>
      <c r="O54" s="187" t="str">
        <f t="shared" si="20"/>
        <v>사</v>
      </c>
      <c r="P54" s="156" t="str">
        <f t="shared" si="21"/>
        <v>전사</v>
      </c>
      <c r="Q54" s="157"/>
      <c r="R54" s="321">
        <v>55900</v>
      </c>
      <c r="S54" s="321">
        <f t="shared" si="22"/>
        <v>55900</v>
      </c>
      <c r="T54" s="321">
        <f t="shared" si="23"/>
        <v>0</v>
      </c>
      <c r="U54" s="321">
        <f t="shared" si="24"/>
        <v>1732900</v>
      </c>
      <c r="V54" s="322">
        <f t="shared" si="25"/>
        <v>3465800</v>
      </c>
      <c r="W54" s="322">
        <f t="shared" si="25"/>
        <v>5198700</v>
      </c>
      <c r="X54" s="322">
        <f t="shared" si="25"/>
        <v>6931600</v>
      </c>
    </row>
    <row r="55" spans="1:24" s="158" customFormat="1" ht="24.95" customHeight="1">
      <c r="A55" s="215">
        <f t="shared" si="13"/>
        <v>53</v>
      </c>
      <c r="B55" s="222">
        <v>819</v>
      </c>
      <c r="C55" s="223" t="s">
        <v>192</v>
      </c>
      <c r="D55" s="317"/>
      <c r="E55" s="318">
        <v>57</v>
      </c>
      <c r="F55" s="216"/>
      <c r="G55" s="216"/>
      <c r="H55" s="316" t="s">
        <v>204</v>
      </c>
      <c r="I55" s="243"/>
      <c r="J55" s="217"/>
      <c r="K55" s="218"/>
      <c r="L55" s="218"/>
      <c r="M55" s="219"/>
      <c r="N55" s="187">
        <v>3</v>
      </c>
      <c r="O55" s="187" t="str">
        <f t="shared" si="20"/>
        <v>사</v>
      </c>
      <c r="P55" s="156" t="str">
        <f t="shared" si="21"/>
        <v>대사</v>
      </c>
      <c r="Q55" s="157"/>
      <c r="R55" s="321">
        <v>131400</v>
      </c>
      <c r="S55" s="321">
        <f t="shared" si="22"/>
        <v>131400</v>
      </c>
      <c r="T55" s="321">
        <f t="shared" si="23"/>
        <v>0</v>
      </c>
      <c r="U55" s="321">
        <f t="shared" si="24"/>
        <v>7489800</v>
      </c>
      <c r="V55" s="322">
        <f t="shared" si="25"/>
        <v>14979600</v>
      </c>
      <c r="W55" s="322">
        <f t="shared" si="25"/>
        <v>22469400</v>
      </c>
      <c r="X55" s="322">
        <f t="shared" si="25"/>
        <v>29959200</v>
      </c>
    </row>
    <row r="56" spans="1:24" s="158" customFormat="1" ht="24.95" customHeight="1">
      <c r="A56" s="215">
        <f t="shared" si="13"/>
        <v>54</v>
      </c>
      <c r="B56" s="222" t="s">
        <v>137</v>
      </c>
      <c r="C56" s="223" t="s">
        <v>133</v>
      </c>
      <c r="D56" s="317"/>
      <c r="E56" s="318">
        <v>35</v>
      </c>
      <c r="F56" s="216"/>
      <c r="G56" s="216"/>
      <c r="H56" s="316" t="s">
        <v>153</v>
      </c>
      <c r="I56" s="243"/>
      <c r="J56" s="217"/>
      <c r="K56" s="218"/>
      <c r="L56" s="218"/>
      <c r="M56" s="219"/>
      <c r="N56" s="187">
        <v>2</v>
      </c>
      <c r="O56" s="187" t="str">
        <f t="shared" si="20"/>
        <v>공</v>
      </c>
      <c r="P56" s="156" t="str">
        <f t="shared" si="21"/>
        <v>도공</v>
      </c>
      <c r="Q56" s="157"/>
      <c r="R56" s="321">
        <v>18100</v>
      </c>
      <c r="S56" s="321">
        <f t="shared" si="22"/>
        <v>0</v>
      </c>
      <c r="T56" s="321">
        <f t="shared" si="23"/>
        <v>18100</v>
      </c>
      <c r="U56" s="321">
        <f t="shared" si="24"/>
        <v>0</v>
      </c>
      <c r="V56" s="322">
        <f t="shared" si="25"/>
        <v>0</v>
      </c>
      <c r="W56" s="322">
        <f t="shared" si="25"/>
        <v>0</v>
      </c>
      <c r="X56" s="322">
        <f t="shared" si="25"/>
        <v>0</v>
      </c>
    </row>
    <row r="57" spans="1:24" s="158" customFormat="1" ht="24.95" customHeight="1">
      <c r="A57" s="215">
        <f t="shared" si="13"/>
        <v>55</v>
      </c>
      <c r="B57" s="222" t="s">
        <v>200</v>
      </c>
      <c r="C57" s="223" t="s">
        <v>199</v>
      </c>
      <c r="D57" s="317"/>
      <c r="E57" s="318">
        <v>117</v>
      </c>
      <c r="F57" s="216"/>
      <c r="G57" s="216"/>
      <c r="H57" s="316" t="s">
        <v>211</v>
      </c>
      <c r="I57" s="243"/>
      <c r="J57" s="217"/>
      <c r="K57" s="218"/>
      <c r="L57" s="218"/>
      <c r="M57" s="219"/>
      <c r="N57" s="187">
        <v>3</v>
      </c>
      <c r="O57" s="187" t="str">
        <f t="shared" si="20"/>
        <v>사</v>
      </c>
      <c r="P57" s="156" t="str">
        <f t="shared" si="21"/>
        <v>전사</v>
      </c>
      <c r="Q57" s="157"/>
      <c r="R57" s="321">
        <v>76500</v>
      </c>
      <c r="S57" s="321">
        <f t="shared" si="22"/>
        <v>76500</v>
      </c>
      <c r="T57" s="321">
        <f t="shared" si="23"/>
        <v>0</v>
      </c>
      <c r="U57" s="321">
        <f t="shared" si="24"/>
        <v>8950500</v>
      </c>
      <c r="V57" s="322">
        <f t="shared" si="25"/>
        <v>17901000</v>
      </c>
      <c r="W57" s="322">
        <f t="shared" si="25"/>
        <v>26851500</v>
      </c>
      <c r="X57" s="322">
        <f t="shared" si="25"/>
        <v>35802000</v>
      </c>
    </row>
    <row r="58" spans="1:24" s="158" customFormat="1" ht="24.95" customHeight="1">
      <c r="A58" s="215">
        <f t="shared" si="13"/>
        <v>56</v>
      </c>
      <c r="B58" s="222">
        <v>820</v>
      </c>
      <c r="C58" s="223" t="s">
        <v>201</v>
      </c>
      <c r="D58" s="317"/>
      <c r="E58" s="318">
        <v>179</v>
      </c>
      <c r="F58" s="216"/>
      <c r="G58" s="216"/>
      <c r="H58" s="316" t="s">
        <v>214</v>
      </c>
      <c r="I58" s="243"/>
      <c r="J58" s="217"/>
      <c r="K58" s="218"/>
      <c r="L58" s="218"/>
      <c r="M58" s="219"/>
      <c r="N58" s="187">
        <v>3</v>
      </c>
      <c r="O58" s="187" t="str">
        <f t="shared" si="20"/>
        <v>사</v>
      </c>
      <c r="P58" s="156" t="str">
        <f t="shared" si="21"/>
        <v>답사</v>
      </c>
      <c r="Q58" s="157"/>
      <c r="R58" s="321">
        <v>66100</v>
      </c>
      <c r="S58" s="321">
        <f t="shared" si="22"/>
        <v>66100</v>
      </c>
      <c r="T58" s="321">
        <f t="shared" si="23"/>
        <v>0</v>
      </c>
      <c r="U58" s="321">
        <f t="shared" si="24"/>
        <v>11831900</v>
      </c>
      <c r="V58" s="322">
        <f t="shared" si="25"/>
        <v>23663800</v>
      </c>
      <c r="W58" s="322">
        <f t="shared" si="25"/>
        <v>35495700</v>
      </c>
      <c r="X58" s="322">
        <f t="shared" si="25"/>
        <v>47327600</v>
      </c>
    </row>
    <row r="59" spans="1:24" s="158" customFormat="1" ht="24.95" customHeight="1">
      <c r="A59" s="215">
        <f t="shared" si="13"/>
        <v>57</v>
      </c>
      <c r="B59" s="222" t="s">
        <v>138</v>
      </c>
      <c r="C59" s="223" t="s">
        <v>133</v>
      </c>
      <c r="D59" s="317"/>
      <c r="E59" s="318">
        <v>157</v>
      </c>
      <c r="F59" s="216"/>
      <c r="G59" s="216"/>
      <c r="H59" s="316" t="s">
        <v>155</v>
      </c>
      <c r="I59" s="243"/>
      <c r="J59" s="217"/>
      <c r="K59" s="218"/>
      <c r="L59" s="218"/>
      <c r="M59" s="219"/>
      <c r="N59" s="187">
        <v>3</v>
      </c>
      <c r="O59" s="187" t="str">
        <f t="shared" si="20"/>
        <v>사</v>
      </c>
      <c r="P59" s="156" t="str">
        <f t="shared" si="21"/>
        <v>도사</v>
      </c>
      <c r="Q59" s="157"/>
      <c r="R59" s="321">
        <v>18100</v>
      </c>
      <c r="S59" s="321">
        <f t="shared" si="22"/>
        <v>18100</v>
      </c>
      <c r="T59" s="321">
        <f t="shared" si="23"/>
        <v>0</v>
      </c>
      <c r="U59" s="321">
        <f t="shared" si="24"/>
        <v>2841700</v>
      </c>
      <c r="V59" s="322">
        <f t="shared" si="25"/>
        <v>5683400</v>
      </c>
      <c r="W59" s="322">
        <f t="shared" si="25"/>
        <v>8525100</v>
      </c>
      <c r="X59" s="322">
        <f t="shared" si="25"/>
        <v>11366800</v>
      </c>
    </row>
    <row r="60" spans="1:24" s="158" customFormat="1" ht="24.95" customHeight="1">
      <c r="A60" s="215">
        <f t="shared" si="13"/>
        <v>58</v>
      </c>
      <c r="B60" s="222" t="s">
        <v>202</v>
      </c>
      <c r="C60" s="223" t="s">
        <v>201</v>
      </c>
      <c r="D60" s="317"/>
      <c r="E60" s="318">
        <v>14</v>
      </c>
      <c r="F60" s="216"/>
      <c r="G60" s="216"/>
      <c r="H60" s="316" t="s">
        <v>215</v>
      </c>
      <c r="I60" s="243"/>
      <c r="J60" s="217"/>
      <c r="K60" s="218"/>
      <c r="L60" s="218"/>
      <c r="M60" s="219"/>
      <c r="N60" s="187">
        <v>3</v>
      </c>
      <c r="O60" s="187" t="str">
        <f t="shared" si="20"/>
        <v>사</v>
      </c>
      <c r="P60" s="156" t="str">
        <f t="shared" si="21"/>
        <v>답사</v>
      </c>
      <c r="Q60" s="157"/>
      <c r="R60" s="321">
        <v>78900</v>
      </c>
      <c r="S60" s="321">
        <f t="shared" si="22"/>
        <v>78900</v>
      </c>
      <c r="T60" s="321">
        <f t="shared" si="23"/>
        <v>0</v>
      </c>
      <c r="U60" s="321">
        <f t="shared" si="24"/>
        <v>1104600</v>
      </c>
      <c r="V60" s="322">
        <f t="shared" si="25"/>
        <v>2209200</v>
      </c>
      <c r="W60" s="322">
        <f t="shared" si="25"/>
        <v>3313800</v>
      </c>
      <c r="X60" s="322">
        <f t="shared" si="25"/>
        <v>4418400</v>
      </c>
    </row>
    <row r="61" spans="1:24" s="158" customFormat="1" ht="24.95" customHeight="1">
      <c r="A61" s="215">
        <f t="shared" si="13"/>
        <v>59</v>
      </c>
      <c r="B61" s="222" t="s">
        <v>216</v>
      </c>
      <c r="C61" s="223" t="s">
        <v>63</v>
      </c>
      <c r="D61" s="317"/>
      <c r="E61" s="318">
        <v>1</v>
      </c>
      <c r="F61" s="216"/>
      <c r="G61" s="216"/>
      <c r="H61" s="316" t="s">
        <v>220</v>
      </c>
      <c r="I61" s="243"/>
      <c r="J61" s="217"/>
      <c r="K61" s="218"/>
      <c r="L61" s="218"/>
      <c r="M61" s="219"/>
      <c r="N61" s="187">
        <v>3</v>
      </c>
      <c r="O61" s="187" t="str">
        <f t="shared" si="20"/>
        <v>사</v>
      </c>
      <c r="P61" s="156" t="str">
        <f t="shared" si="21"/>
        <v>도사</v>
      </c>
      <c r="Q61" s="157"/>
      <c r="R61" s="321">
        <v>40500</v>
      </c>
      <c r="S61" s="321">
        <f t="shared" si="22"/>
        <v>40500</v>
      </c>
      <c r="T61" s="321">
        <f t="shared" si="23"/>
        <v>0</v>
      </c>
      <c r="U61" s="321">
        <f t="shared" si="24"/>
        <v>40500</v>
      </c>
      <c r="V61" s="322">
        <f t="shared" si="25"/>
        <v>81000</v>
      </c>
      <c r="W61" s="322">
        <f t="shared" si="25"/>
        <v>121500</v>
      </c>
      <c r="X61" s="322">
        <f t="shared" si="25"/>
        <v>162000</v>
      </c>
    </row>
    <row r="62" spans="1:24" s="158" customFormat="1" ht="24.95" customHeight="1">
      <c r="A62" s="215">
        <f t="shared" si="13"/>
        <v>60</v>
      </c>
      <c r="B62" s="222">
        <v>1908</v>
      </c>
      <c r="C62" s="223" t="s">
        <v>133</v>
      </c>
      <c r="D62" s="317"/>
      <c r="E62" s="318">
        <v>8</v>
      </c>
      <c r="F62" s="216"/>
      <c r="G62" s="216"/>
      <c r="H62" s="316" t="s">
        <v>160</v>
      </c>
      <c r="I62" s="243"/>
      <c r="J62" s="217"/>
      <c r="K62" s="218"/>
      <c r="L62" s="218"/>
      <c r="M62" s="219"/>
      <c r="N62" s="187">
        <v>1</v>
      </c>
      <c r="O62" s="187" t="str">
        <f t="shared" ref="O62:O63" si="26">IF(N62=1,"국",IF(N62=2,"공","사"))</f>
        <v>국</v>
      </c>
      <c r="P62" s="156" t="str">
        <f t="shared" ref="P62:P63" si="27">CONCATENATE(C62,O62)</f>
        <v>도국</v>
      </c>
      <c r="Q62" s="157"/>
      <c r="R62" s="321">
        <v>18100</v>
      </c>
      <c r="S62" s="321">
        <f t="shared" ref="S62:S63" si="28">IF(N62=3,R62,)</f>
        <v>0</v>
      </c>
      <c r="T62" s="321">
        <f t="shared" ref="T62:T63" si="29">IF(OR(N62=1,N62=2),R62,)</f>
        <v>18100</v>
      </c>
      <c r="U62" s="321">
        <f t="shared" ref="U62:U63" si="30">S62*E62</f>
        <v>0</v>
      </c>
      <c r="V62" s="322">
        <f t="shared" ref="V62:X63" si="31">ROUND($U62*V$2,0)</f>
        <v>0</v>
      </c>
      <c r="W62" s="322">
        <f t="shared" si="31"/>
        <v>0</v>
      </c>
      <c r="X62" s="322">
        <f t="shared" si="31"/>
        <v>0</v>
      </c>
    </row>
    <row r="63" spans="1:24" s="158" customFormat="1" ht="24.95" customHeight="1">
      <c r="A63" s="215">
        <f t="shared" si="13"/>
        <v>61</v>
      </c>
      <c r="B63" s="222">
        <v>863</v>
      </c>
      <c r="C63" s="223" t="s">
        <v>67</v>
      </c>
      <c r="D63" s="317"/>
      <c r="E63" s="318">
        <v>38</v>
      </c>
      <c r="F63" s="216"/>
      <c r="G63" s="216"/>
      <c r="H63" s="316" t="s">
        <v>221</v>
      </c>
      <c r="I63" s="243"/>
      <c r="J63" s="217"/>
      <c r="K63" s="218"/>
      <c r="L63" s="218"/>
      <c r="M63" s="219"/>
      <c r="N63" s="187">
        <v>3</v>
      </c>
      <c r="O63" s="187" t="str">
        <f t="shared" si="26"/>
        <v>사</v>
      </c>
      <c r="P63" s="156" t="str">
        <f t="shared" si="27"/>
        <v>답사</v>
      </c>
      <c r="Q63" s="157"/>
      <c r="R63" s="321">
        <v>54800</v>
      </c>
      <c r="S63" s="321">
        <f t="shared" si="28"/>
        <v>54800</v>
      </c>
      <c r="T63" s="321">
        <f t="shared" si="29"/>
        <v>0</v>
      </c>
      <c r="U63" s="321">
        <f t="shared" si="30"/>
        <v>2082400</v>
      </c>
      <c r="V63" s="322">
        <f t="shared" si="31"/>
        <v>4164800</v>
      </c>
      <c r="W63" s="322">
        <f t="shared" si="31"/>
        <v>6247200</v>
      </c>
      <c r="X63" s="322">
        <f t="shared" si="31"/>
        <v>8329600</v>
      </c>
    </row>
    <row r="64" spans="1:24" s="158" customFormat="1" ht="24.95" customHeight="1">
      <c r="A64" s="215">
        <f t="shared" si="13"/>
        <v>62</v>
      </c>
      <c r="B64" s="222" t="s">
        <v>139</v>
      </c>
      <c r="C64" s="223" t="s">
        <v>133</v>
      </c>
      <c r="D64" s="317"/>
      <c r="E64" s="318">
        <v>103</v>
      </c>
      <c r="F64" s="216"/>
      <c r="G64" s="216"/>
      <c r="H64" s="316" t="s">
        <v>153</v>
      </c>
      <c r="I64" s="243"/>
      <c r="J64" s="217"/>
      <c r="K64" s="218"/>
      <c r="L64" s="218"/>
      <c r="M64" s="219"/>
      <c r="N64" s="187">
        <v>2</v>
      </c>
      <c r="O64" s="187" t="str">
        <f>IF(N64=1,"국",IF(N64=2,"공","사"))</f>
        <v>공</v>
      </c>
      <c r="P64" s="156" t="str">
        <f>CONCATENATE(C64,O64)</f>
        <v>도공</v>
      </c>
      <c r="Q64" s="157"/>
      <c r="R64" s="321">
        <v>18100</v>
      </c>
      <c r="S64" s="321">
        <f>IF(N64=3,R64,)</f>
        <v>0</v>
      </c>
      <c r="T64" s="321">
        <f>IF(OR(N64=1,N64=2),R64,)</f>
        <v>18100</v>
      </c>
      <c r="U64" s="321">
        <f>S64*E64</f>
        <v>0</v>
      </c>
      <c r="V64" s="322">
        <f t="shared" ref="V64:X67" si="32">ROUND($U64*V$2,0)</f>
        <v>0</v>
      </c>
      <c r="W64" s="322">
        <f t="shared" si="32"/>
        <v>0</v>
      </c>
      <c r="X64" s="322">
        <f t="shared" si="32"/>
        <v>0</v>
      </c>
    </row>
    <row r="65" spans="1:24" s="158" customFormat="1" ht="24.95" customHeight="1">
      <c r="A65" s="215">
        <f t="shared" si="13"/>
        <v>63</v>
      </c>
      <c r="B65" s="222" t="s">
        <v>143</v>
      </c>
      <c r="C65" s="223" t="s">
        <v>152</v>
      </c>
      <c r="D65" s="317"/>
      <c r="E65" s="318">
        <v>390</v>
      </c>
      <c r="F65" s="216"/>
      <c r="G65" s="216"/>
      <c r="H65" s="316" t="s">
        <v>159</v>
      </c>
      <c r="I65" s="243"/>
      <c r="J65" s="217"/>
      <c r="K65" s="218"/>
      <c r="L65" s="218"/>
      <c r="M65" s="219"/>
      <c r="N65" s="187">
        <v>3</v>
      </c>
      <c r="O65" s="187" t="str">
        <f>IF(N65=1,"국",IF(N65=2,"공","사"))</f>
        <v>사</v>
      </c>
      <c r="P65" s="156" t="str">
        <f>CONCATENATE(C65,O65)</f>
        <v>천사</v>
      </c>
      <c r="Q65" s="157"/>
      <c r="R65" s="321">
        <v>18100</v>
      </c>
      <c r="S65" s="321">
        <f>IF(N65=3,R65,)</f>
        <v>18100</v>
      </c>
      <c r="T65" s="321">
        <f>IF(OR(N65=1,N65=2),R65,)</f>
        <v>0</v>
      </c>
      <c r="U65" s="321">
        <f>S65*E65</f>
        <v>7059000</v>
      </c>
      <c r="V65" s="322">
        <f t="shared" si="32"/>
        <v>14118000</v>
      </c>
      <c r="W65" s="322">
        <f t="shared" si="32"/>
        <v>21177000</v>
      </c>
      <c r="X65" s="322">
        <f t="shared" si="32"/>
        <v>28236000</v>
      </c>
    </row>
    <row r="66" spans="1:24" s="158" customFormat="1" ht="24.95" customHeight="1">
      <c r="A66" s="215">
        <f t="shared" si="13"/>
        <v>64</v>
      </c>
      <c r="B66" s="222" t="s">
        <v>140</v>
      </c>
      <c r="C66" s="223" t="s">
        <v>131</v>
      </c>
      <c r="D66" s="317"/>
      <c r="E66" s="318">
        <v>184</v>
      </c>
      <c r="F66" s="216"/>
      <c r="G66" s="216"/>
      <c r="H66" s="316" t="s">
        <v>167</v>
      </c>
      <c r="I66" s="243"/>
      <c r="J66" s="217"/>
      <c r="K66" s="218"/>
      <c r="L66" s="218"/>
      <c r="M66" s="219"/>
      <c r="N66" s="187">
        <v>3</v>
      </c>
      <c r="O66" s="187" t="str">
        <f>IF(N66=1,"국",IF(N66=2,"공","사"))</f>
        <v>사</v>
      </c>
      <c r="P66" s="156" t="str">
        <f>CONCATENATE(C66,O66)</f>
        <v>답사</v>
      </c>
      <c r="Q66" s="157"/>
      <c r="R66" s="321">
        <v>74200</v>
      </c>
      <c r="S66" s="321">
        <f>IF(N66=3,R66,)</f>
        <v>74200</v>
      </c>
      <c r="T66" s="321">
        <f>IF(OR(N66=1,N66=2),R66,)</f>
        <v>0</v>
      </c>
      <c r="U66" s="321">
        <f>S66*E66</f>
        <v>13652800</v>
      </c>
      <c r="V66" s="322">
        <f t="shared" si="32"/>
        <v>27305600</v>
      </c>
      <c r="W66" s="322">
        <f t="shared" si="32"/>
        <v>40958400</v>
      </c>
      <c r="X66" s="322">
        <f t="shared" si="32"/>
        <v>54611200</v>
      </c>
    </row>
    <row r="67" spans="1:24" s="158" customFormat="1" ht="24.95" customHeight="1">
      <c r="A67" s="215">
        <f t="shared" si="13"/>
        <v>65</v>
      </c>
      <c r="B67" s="222" t="s">
        <v>141</v>
      </c>
      <c r="C67" s="223" t="s">
        <v>131</v>
      </c>
      <c r="D67" s="317"/>
      <c r="E67" s="318">
        <v>269</v>
      </c>
      <c r="F67" s="216"/>
      <c r="G67" s="216"/>
      <c r="H67" s="316" t="s">
        <v>159</v>
      </c>
      <c r="I67" s="243"/>
      <c r="J67" s="217"/>
      <c r="K67" s="218"/>
      <c r="L67" s="218"/>
      <c r="M67" s="219"/>
      <c r="N67" s="187">
        <v>3</v>
      </c>
      <c r="O67" s="187" t="str">
        <f>IF(N67=1,"국",IF(N67=2,"공","사"))</f>
        <v>사</v>
      </c>
      <c r="P67" s="156" t="str">
        <f>CONCATENATE(C67,O67)</f>
        <v>답사</v>
      </c>
      <c r="Q67" s="157"/>
      <c r="R67" s="321">
        <v>117900</v>
      </c>
      <c r="S67" s="321">
        <f>IF(N67=3,R67,)</f>
        <v>117900</v>
      </c>
      <c r="T67" s="321">
        <f>IF(OR(N67=1,N67=2),R67,)</f>
        <v>0</v>
      </c>
      <c r="U67" s="321">
        <f>S67*E67</f>
        <v>31715100</v>
      </c>
      <c r="V67" s="322">
        <f t="shared" si="32"/>
        <v>63430200</v>
      </c>
      <c r="W67" s="322">
        <f t="shared" si="32"/>
        <v>95145300</v>
      </c>
      <c r="X67" s="322">
        <f t="shared" si="32"/>
        <v>126860400</v>
      </c>
    </row>
    <row r="68" spans="1:24" s="158" customFormat="1" ht="24.95" customHeight="1">
      <c r="A68" s="215">
        <f t="shared" si="13"/>
        <v>66</v>
      </c>
      <c r="B68" s="222" t="s">
        <v>142</v>
      </c>
      <c r="C68" s="223" t="s">
        <v>133</v>
      </c>
      <c r="D68" s="317"/>
      <c r="E68" s="318">
        <v>182</v>
      </c>
      <c r="F68" s="216"/>
      <c r="G68" s="216"/>
      <c r="H68" s="316" t="s">
        <v>153</v>
      </c>
      <c r="I68" s="243"/>
      <c r="J68" s="217"/>
      <c r="K68" s="218"/>
      <c r="L68" s="218"/>
      <c r="M68" s="219"/>
      <c r="N68" s="187">
        <v>2</v>
      </c>
      <c r="O68" s="187" t="str">
        <f t="shared" ref="O68:O70" si="33">IF(N68=1,"국",IF(N68=2,"공","사"))</f>
        <v>공</v>
      </c>
      <c r="P68" s="156" t="str">
        <f t="shared" ref="P68:P70" si="34">CONCATENATE(C68,O68)</f>
        <v>도공</v>
      </c>
      <c r="Q68" s="157"/>
      <c r="R68" s="321">
        <v>18100</v>
      </c>
      <c r="S68" s="321">
        <f t="shared" ref="S68:S70" si="35">IF(N68=3,R68,)</f>
        <v>0</v>
      </c>
      <c r="T68" s="321">
        <f t="shared" ref="T68:T70" si="36">IF(OR(N68=1,N68=2),R68,)</f>
        <v>18100</v>
      </c>
      <c r="U68" s="321">
        <f t="shared" ref="U68:U70" si="37">S68*E68</f>
        <v>0</v>
      </c>
      <c r="V68" s="322">
        <f t="shared" ref="V68:X70" si="38">ROUND($U68*V$2,0)</f>
        <v>0</v>
      </c>
      <c r="W68" s="322">
        <f t="shared" si="38"/>
        <v>0</v>
      </c>
      <c r="X68" s="322">
        <f t="shared" si="38"/>
        <v>0</v>
      </c>
    </row>
    <row r="69" spans="1:24" s="158" customFormat="1" ht="24.95" customHeight="1">
      <c r="A69" s="215">
        <f t="shared" si="13"/>
        <v>67</v>
      </c>
      <c r="B69" s="222" t="s">
        <v>217</v>
      </c>
      <c r="C69" s="223" t="s">
        <v>67</v>
      </c>
      <c r="D69" s="317"/>
      <c r="E69" s="318">
        <v>40</v>
      </c>
      <c r="F69" s="216"/>
      <c r="G69" s="216"/>
      <c r="H69" s="316" t="s">
        <v>221</v>
      </c>
      <c r="I69" s="243"/>
      <c r="J69" s="217"/>
      <c r="K69" s="218"/>
      <c r="L69" s="218"/>
      <c r="M69" s="219"/>
      <c r="N69" s="187">
        <v>3</v>
      </c>
      <c r="O69" s="187" t="str">
        <f t="shared" si="33"/>
        <v>사</v>
      </c>
      <c r="P69" s="156" t="str">
        <f t="shared" si="34"/>
        <v>답사</v>
      </c>
      <c r="Q69" s="157"/>
      <c r="R69" s="321">
        <v>54800</v>
      </c>
      <c r="S69" s="321">
        <f t="shared" si="35"/>
        <v>54800</v>
      </c>
      <c r="T69" s="321">
        <f t="shared" si="36"/>
        <v>0</v>
      </c>
      <c r="U69" s="321">
        <f t="shared" si="37"/>
        <v>2192000</v>
      </c>
      <c r="V69" s="322">
        <f t="shared" si="38"/>
        <v>4384000</v>
      </c>
      <c r="W69" s="322">
        <f t="shared" si="38"/>
        <v>6576000</v>
      </c>
      <c r="X69" s="322">
        <f t="shared" si="38"/>
        <v>8768000</v>
      </c>
    </row>
    <row r="70" spans="1:24" s="158" customFormat="1" ht="24.95" customHeight="1">
      <c r="A70" s="215">
        <f t="shared" si="13"/>
        <v>68</v>
      </c>
      <c r="B70" s="222" t="s">
        <v>218</v>
      </c>
      <c r="C70" s="223" t="s">
        <v>67</v>
      </c>
      <c r="D70" s="317"/>
      <c r="E70" s="318">
        <v>60</v>
      </c>
      <c r="F70" s="216"/>
      <c r="G70" s="216"/>
      <c r="H70" s="316" t="s">
        <v>222</v>
      </c>
      <c r="I70" s="243"/>
      <c r="J70" s="217"/>
      <c r="K70" s="218"/>
      <c r="L70" s="218"/>
      <c r="M70" s="219"/>
      <c r="N70" s="187">
        <v>3</v>
      </c>
      <c r="O70" s="187" t="str">
        <f t="shared" si="33"/>
        <v>사</v>
      </c>
      <c r="P70" s="156" t="str">
        <f t="shared" si="34"/>
        <v>답사</v>
      </c>
      <c r="Q70" s="157"/>
      <c r="R70" s="321">
        <v>83400</v>
      </c>
      <c r="S70" s="321">
        <f t="shared" si="35"/>
        <v>83400</v>
      </c>
      <c r="T70" s="321">
        <f t="shared" si="36"/>
        <v>0</v>
      </c>
      <c r="U70" s="321">
        <f t="shared" si="37"/>
        <v>5004000</v>
      </c>
      <c r="V70" s="322">
        <f t="shared" si="38"/>
        <v>10008000</v>
      </c>
      <c r="W70" s="322">
        <f t="shared" si="38"/>
        <v>15012000</v>
      </c>
      <c r="X70" s="322">
        <f t="shared" si="38"/>
        <v>20016000</v>
      </c>
    </row>
    <row r="71" spans="1:24" s="158" customFormat="1" ht="24.95" customHeight="1">
      <c r="A71" s="215">
        <f t="shared" si="13"/>
        <v>69</v>
      </c>
      <c r="B71" s="222">
        <v>787</v>
      </c>
      <c r="C71" s="223" t="s">
        <v>131</v>
      </c>
      <c r="D71" s="317"/>
      <c r="E71" s="318">
        <v>378</v>
      </c>
      <c r="F71" s="216"/>
      <c r="G71" s="216"/>
      <c r="H71" s="316" t="s">
        <v>156</v>
      </c>
      <c r="I71" s="243"/>
      <c r="J71" s="217"/>
      <c r="K71" s="218"/>
      <c r="L71" s="218"/>
      <c r="M71" s="219"/>
      <c r="N71" s="187">
        <v>3</v>
      </c>
      <c r="O71" s="187" t="str">
        <f>IF(N71=1,"국",IF(N71=2,"공","사"))</f>
        <v>사</v>
      </c>
      <c r="P71" s="156" t="str">
        <f>CONCATENATE(C71,O71)</f>
        <v>답사</v>
      </c>
      <c r="Q71" s="157"/>
      <c r="R71" s="321">
        <v>84000</v>
      </c>
      <c r="S71" s="321">
        <f>IF(N71=3,R71,)</f>
        <v>84000</v>
      </c>
      <c r="T71" s="321">
        <f>IF(OR(N71=1,N71=2),R71,)</f>
        <v>0</v>
      </c>
      <c r="U71" s="321">
        <f>S71*E71</f>
        <v>31752000</v>
      </c>
      <c r="V71" s="322">
        <f>ROUND($U71*V$2,0)</f>
        <v>63504000</v>
      </c>
      <c r="W71" s="322">
        <f>ROUND($U71*W$2,0)</f>
        <v>95256000</v>
      </c>
      <c r="X71" s="322">
        <f>ROUND($U71*X$2,0)</f>
        <v>127008000</v>
      </c>
    </row>
    <row r="72" spans="1:24" s="158" customFormat="1" ht="24.95" customHeight="1">
      <c r="A72" s="215">
        <f t="shared" si="13"/>
        <v>70</v>
      </c>
      <c r="B72" s="222" t="s">
        <v>145</v>
      </c>
      <c r="C72" s="223" t="s">
        <v>133</v>
      </c>
      <c r="D72" s="317"/>
      <c r="E72" s="318">
        <v>190</v>
      </c>
      <c r="F72" s="216"/>
      <c r="G72" s="216"/>
      <c r="H72" s="316" t="s">
        <v>153</v>
      </c>
      <c r="I72" s="243"/>
      <c r="J72" s="217"/>
      <c r="K72" s="218"/>
      <c r="L72" s="218"/>
      <c r="M72" s="219"/>
      <c r="N72" s="187">
        <v>2</v>
      </c>
      <c r="O72" s="187" t="str">
        <f t="shared" ref="O72" si="39">IF(N72=1,"국",IF(N72=2,"공","사"))</f>
        <v>공</v>
      </c>
      <c r="P72" s="156" t="str">
        <f t="shared" ref="P72" si="40">CONCATENATE(C72,O72)</f>
        <v>도공</v>
      </c>
      <c r="Q72" s="157"/>
      <c r="R72" s="321">
        <v>18000</v>
      </c>
      <c r="S72" s="321">
        <f t="shared" ref="S72" si="41">IF(N72=3,R72,)</f>
        <v>0</v>
      </c>
      <c r="T72" s="321">
        <f t="shared" ref="T72" si="42">IF(OR(N72=1,N72=2),R72,)</f>
        <v>18000</v>
      </c>
      <c r="U72" s="321">
        <f t="shared" ref="U72" si="43">S72*E72</f>
        <v>0</v>
      </c>
      <c r="V72" s="322">
        <f t="shared" ref="V72:X72" si="44">ROUND($U72*V$2,0)</f>
        <v>0</v>
      </c>
      <c r="W72" s="322">
        <f t="shared" si="44"/>
        <v>0</v>
      </c>
      <c r="X72" s="322">
        <f t="shared" si="44"/>
        <v>0</v>
      </c>
    </row>
    <row r="73" spans="1:24" s="158" customFormat="1" ht="24.95" customHeight="1">
      <c r="A73" s="215">
        <f t="shared" si="13"/>
        <v>71</v>
      </c>
      <c r="B73" s="222" t="s">
        <v>146</v>
      </c>
      <c r="C73" s="223" t="s">
        <v>134</v>
      </c>
      <c r="D73" s="317"/>
      <c r="E73" s="318">
        <v>139</v>
      </c>
      <c r="F73" s="216"/>
      <c r="G73" s="216"/>
      <c r="H73" s="316" t="s">
        <v>168</v>
      </c>
      <c r="I73" s="243"/>
      <c r="J73" s="217"/>
      <c r="K73" s="218"/>
      <c r="L73" s="218"/>
      <c r="M73" s="219"/>
      <c r="N73" s="187">
        <v>3</v>
      </c>
      <c r="O73" s="187" t="str">
        <f>IF(N73=1,"국",IF(N73=2,"공","사"))</f>
        <v>사</v>
      </c>
      <c r="P73" s="156" t="str">
        <f>CONCATENATE(C73,O73)</f>
        <v>대사</v>
      </c>
      <c r="Q73" s="157"/>
      <c r="R73" s="321">
        <v>213400</v>
      </c>
      <c r="S73" s="321">
        <f>IF(N73=3,R73,)</f>
        <v>213400</v>
      </c>
      <c r="T73" s="321">
        <f>IF(OR(N73=1,N73=2),R73,)</f>
        <v>0</v>
      </c>
      <c r="U73" s="321">
        <f>S73*E73</f>
        <v>29662600</v>
      </c>
      <c r="V73" s="322">
        <f>ROUND($U73*V$2,0)</f>
        <v>59325200</v>
      </c>
      <c r="W73" s="322">
        <f>ROUND($U73*W$2,0)</f>
        <v>88987800</v>
      </c>
      <c r="X73" s="322">
        <f>ROUND($U73*X$2,0)</f>
        <v>118650400</v>
      </c>
    </row>
    <row r="74" spans="1:24" s="158" customFormat="1" ht="24.95" customHeight="1">
      <c r="A74" s="215">
        <f t="shared" si="13"/>
        <v>72</v>
      </c>
      <c r="B74" s="222" t="s">
        <v>147</v>
      </c>
      <c r="C74" s="223" t="s">
        <v>133</v>
      </c>
      <c r="D74" s="317"/>
      <c r="E74" s="318">
        <v>76</v>
      </c>
      <c r="F74" s="216"/>
      <c r="G74" s="216"/>
      <c r="H74" s="316" t="s">
        <v>169</v>
      </c>
      <c r="I74" s="243"/>
      <c r="J74" s="217"/>
      <c r="K74" s="218"/>
      <c r="L74" s="218"/>
      <c r="M74" s="219"/>
      <c r="N74" s="187">
        <v>3</v>
      </c>
      <c r="O74" s="187" t="str">
        <f t="shared" ref="O74" si="45">IF(N74=1,"국",IF(N74=2,"공","사"))</f>
        <v>사</v>
      </c>
      <c r="P74" s="156" t="str">
        <f t="shared" ref="P74" si="46">CONCATENATE(C74,O74)</f>
        <v>도사</v>
      </c>
      <c r="Q74" s="157"/>
      <c r="R74" s="321">
        <v>70900</v>
      </c>
      <c r="S74" s="321">
        <f t="shared" ref="S74" si="47">IF(N74=3,R74,)</f>
        <v>70900</v>
      </c>
      <c r="T74" s="321">
        <f t="shared" ref="T74" si="48">IF(OR(N74=1,N74=2),R74,)</f>
        <v>0</v>
      </c>
      <c r="U74" s="321">
        <f t="shared" ref="U74" si="49">S74*E74</f>
        <v>5388400</v>
      </c>
      <c r="V74" s="322">
        <f t="shared" ref="V74:X74" si="50">ROUND($U74*V$2,0)</f>
        <v>10776800</v>
      </c>
      <c r="W74" s="322">
        <f t="shared" si="50"/>
        <v>16165200</v>
      </c>
      <c r="X74" s="322">
        <f t="shared" si="50"/>
        <v>21553600</v>
      </c>
    </row>
    <row r="75" spans="1:24" s="158" customFormat="1" ht="24.95" customHeight="1">
      <c r="A75" s="215">
        <f t="shared" si="13"/>
        <v>73</v>
      </c>
      <c r="B75" s="222" t="s">
        <v>148</v>
      </c>
      <c r="C75" s="223" t="s">
        <v>131</v>
      </c>
      <c r="D75" s="317"/>
      <c r="E75" s="318">
        <v>177</v>
      </c>
      <c r="F75" s="216"/>
      <c r="G75" s="216"/>
      <c r="H75" s="316" t="s">
        <v>170</v>
      </c>
      <c r="I75" s="243"/>
      <c r="J75" s="217"/>
      <c r="K75" s="218"/>
      <c r="L75" s="218"/>
      <c r="M75" s="219"/>
      <c r="N75" s="187">
        <v>3</v>
      </c>
      <c r="O75" s="187" t="str">
        <f>IF(N75=1,"국",IF(N75=2,"공","사"))</f>
        <v>사</v>
      </c>
      <c r="P75" s="156" t="str">
        <f>CONCATENATE(C75,O75)</f>
        <v>답사</v>
      </c>
      <c r="Q75" s="157"/>
      <c r="R75" s="321">
        <v>111600</v>
      </c>
      <c r="S75" s="321">
        <f>IF(N75=3,R75,)</f>
        <v>111600</v>
      </c>
      <c r="T75" s="321">
        <f>IF(OR(N75=1,N75=2),R75,)</f>
        <v>0</v>
      </c>
      <c r="U75" s="321">
        <f>S75*E75</f>
        <v>19753200</v>
      </c>
      <c r="V75" s="322">
        <f>ROUND($U75*V$2,0)</f>
        <v>39506400</v>
      </c>
      <c r="W75" s="322">
        <f>ROUND($U75*W$2,0)</f>
        <v>59259600</v>
      </c>
      <c r="X75" s="322">
        <f>ROUND($U75*X$2,0)</f>
        <v>79012800</v>
      </c>
    </row>
    <row r="76" spans="1:24" s="158" customFormat="1" ht="24.95" customHeight="1">
      <c r="A76" s="215">
        <f t="shared" ref="A76:A80" si="51">A75+1</f>
        <v>74</v>
      </c>
      <c r="B76" s="222" t="s">
        <v>149</v>
      </c>
      <c r="C76" s="223" t="s">
        <v>133</v>
      </c>
      <c r="D76" s="317"/>
      <c r="E76" s="318">
        <v>109</v>
      </c>
      <c r="F76" s="216"/>
      <c r="G76" s="216"/>
      <c r="H76" s="316" t="s">
        <v>163</v>
      </c>
      <c r="I76" s="243"/>
      <c r="J76" s="217"/>
      <c r="K76" s="218"/>
      <c r="L76" s="218"/>
      <c r="M76" s="219"/>
      <c r="N76" s="187">
        <v>3</v>
      </c>
      <c r="O76" s="187" t="str">
        <f t="shared" ref="O76:O79" si="52">IF(N76=1,"국",IF(N76=2,"공","사"))</f>
        <v>사</v>
      </c>
      <c r="P76" s="156" t="str">
        <f t="shared" ref="P76:P79" si="53">CONCATENATE(C76,O76)</f>
        <v>도사</v>
      </c>
      <c r="Q76" s="157"/>
      <c r="R76" s="321">
        <v>70900</v>
      </c>
      <c r="S76" s="321">
        <f t="shared" ref="S76:S79" si="54">IF(N76=3,R76,)</f>
        <v>70900</v>
      </c>
      <c r="T76" s="321">
        <f t="shared" ref="T76:T79" si="55">IF(OR(N76=1,N76=2),R76,)</f>
        <v>0</v>
      </c>
      <c r="U76" s="321">
        <f t="shared" ref="U76:U79" si="56">S76*E76</f>
        <v>7728100</v>
      </c>
      <c r="V76" s="322">
        <f t="shared" ref="V76:X80" si="57">ROUND($U76*V$2,0)</f>
        <v>15456200</v>
      </c>
      <c r="W76" s="322">
        <f t="shared" si="57"/>
        <v>23184300</v>
      </c>
      <c r="X76" s="322">
        <f t="shared" si="57"/>
        <v>30912400</v>
      </c>
    </row>
    <row r="77" spans="1:24" s="158" customFormat="1" ht="24.95" customHeight="1">
      <c r="A77" s="215">
        <f t="shared" si="51"/>
        <v>75</v>
      </c>
      <c r="B77" s="311" t="s">
        <v>151</v>
      </c>
      <c r="C77" s="223" t="s">
        <v>152</v>
      </c>
      <c r="D77" s="317"/>
      <c r="E77" s="318">
        <v>3022</v>
      </c>
      <c r="F77" s="216"/>
      <c r="G77" s="216"/>
      <c r="H77" s="316" t="s">
        <v>160</v>
      </c>
      <c r="I77" s="243"/>
      <c r="J77" s="217"/>
      <c r="K77" s="218"/>
      <c r="L77" s="218"/>
      <c r="M77" s="219"/>
      <c r="N77" s="187">
        <v>1</v>
      </c>
      <c r="O77" s="187" t="str">
        <f>IF(N77=1,"국",IF(N77=2,"공","사"))</f>
        <v>국</v>
      </c>
      <c r="P77" s="156" t="str">
        <f>CONCATENATE(C77,O77)</f>
        <v>천국</v>
      </c>
      <c r="Q77" s="157"/>
      <c r="R77" s="321">
        <v>14800</v>
      </c>
      <c r="S77" s="321">
        <f>IF(N77=3,R77,)</f>
        <v>0</v>
      </c>
      <c r="T77" s="321">
        <f>IF(OR(N77=1,N77=2),R77,)</f>
        <v>14800</v>
      </c>
      <c r="U77" s="321">
        <f>S77*E77</f>
        <v>0</v>
      </c>
      <c r="V77" s="322">
        <f t="shared" ref="V77:X78" si="58">ROUND($U77*V$2,0)</f>
        <v>0</v>
      </c>
      <c r="W77" s="322">
        <f t="shared" si="58"/>
        <v>0</v>
      </c>
      <c r="X77" s="322">
        <f t="shared" si="58"/>
        <v>0</v>
      </c>
    </row>
    <row r="78" spans="1:24" s="158" customFormat="1" ht="24.95" customHeight="1">
      <c r="A78" s="215">
        <f t="shared" si="51"/>
        <v>76</v>
      </c>
      <c r="B78" s="222" t="s">
        <v>144</v>
      </c>
      <c r="C78" s="223" t="s">
        <v>133</v>
      </c>
      <c r="D78" s="317"/>
      <c r="E78" s="318">
        <v>451</v>
      </c>
      <c r="F78" s="216"/>
      <c r="G78" s="216"/>
      <c r="H78" s="316" t="s">
        <v>160</v>
      </c>
      <c r="I78" s="243"/>
      <c r="J78" s="217"/>
      <c r="K78" s="218"/>
      <c r="L78" s="218"/>
      <c r="M78" s="219"/>
      <c r="N78" s="187">
        <v>1</v>
      </c>
      <c r="O78" s="187" t="str">
        <f>IF(N78=1,"국",IF(N78=2,"공","사"))</f>
        <v>국</v>
      </c>
      <c r="P78" s="156" t="str">
        <f>CONCATENATE(C78,O78)</f>
        <v>도국</v>
      </c>
      <c r="Q78" s="157"/>
      <c r="R78" s="321">
        <v>70900</v>
      </c>
      <c r="S78" s="321">
        <f>IF(N78=3,R78,)</f>
        <v>0</v>
      </c>
      <c r="T78" s="321">
        <f>IF(OR(N78=1,N78=2),R78,)</f>
        <v>70900</v>
      </c>
      <c r="U78" s="321">
        <f>S78*E78</f>
        <v>0</v>
      </c>
      <c r="V78" s="322">
        <f t="shared" si="58"/>
        <v>0</v>
      </c>
      <c r="W78" s="322">
        <f t="shared" si="58"/>
        <v>0</v>
      </c>
      <c r="X78" s="322">
        <f t="shared" si="58"/>
        <v>0</v>
      </c>
    </row>
    <row r="79" spans="1:24" s="158" customFormat="1" ht="24.95" customHeight="1">
      <c r="A79" s="215">
        <f t="shared" si="51"/>
        <v>77</v>
      </c>
      <c r="B79" s="222" t="s">
        <v>150</v>
      </c>
      <c r="C79" s="223" t="s">
        <v>133</v>
      </c>
      <c r="D79" s="317"/>
      <c r="E79" s="318">
        <v>35</v>
      </c>
      <c r="F79" s="216"/>
      <c r="G79" s="216"/>
      <c r="H79" s="316" t="s">
        <v>160</v>
      </c>
      <c r="I79" s="243"/>
      <c r="J79" s="217"/>
      <c r="K79" s="218"/>
      <c r="L79" s="218"/>
      <c r="M79" s="219"/>
      <c r="N79" s="187">
        <v>1</v>
      </c>
      <c r="O79" s="187" t="str">
        <f t="shared" si="52"/>
        <v>국</v>
      </c>
      <c r="P79" s="156" t="str">
        <f t="shared" si="53"/>
        <v>도국</v>
      </c>
      <c r="Q79" s="157"/>
      <c r="R79" s="321">
        <v>25200</v>
      </c>
      <c r="S79" s="321">
        <f t="shared" si="54"/>
        <v>0</v>
      </c>
      <c r="T79" s="321">
        <f t="shared" si="55"/>
        <v>25200</v>
      </c>
      <c r="U79" s="321">
        <f t="shared" si="56"/>
        <v>0</v>
      </c>
      <c r="V79" s="322">
        <f t="shared" si="57"/>
        <v>0</v>
      </c>
      <c r="W79" s="322">
        <f t="shared" si="57"/>
        <v>0</v>
      </c>
      <c r="X79" s="322">
        <f t="shared" si="57"/>
        <v>0</v>
      </c>
    </row>
    <row r="80" spans="1:24" s="158" customFormat="1" ht="24.95" customHeight="1">
      <c r="A80" s="215">
        <f t="shared" si="51"/>
        <v>78</v>
      </c>
      <c r="B80" s="222" t="s">
        <v>219</v>
      </c>
      <c r="C80" s="223" t="s">
        <v>63</v>
      </c>
      <c r="D80" s="317"/>
      <c r="E80" s="318">
        <v>9</v>
      </c>
      <c r="F80" s="216"/>
      <c r="G80" s="216"/>
      <c r="H80" s="316" t="s">
        <v>70</v>
      </c>
      <c r="I80" s="243"/>
      <c r="J80" s="217"/>
      <c r="K80" s="218"/>
      <c r="L80" s="218"/>
      <c r="M80" s="219"/>
      <c r="N80" s="187">
        <v>1</v>
      </c>
      <c r="O80" s="187" t="str">
        <f t="shared" ref="O80" si="59">IF(N80=1,"국",IF(N80=2,"공","사"))</f>
        <v>국</v>
      </c>
      <c r="P80" s="156" t="str">
        <f t="shared" ref="P80" si="60">CONCATENATE(C80,O80)</f>
        <v>도국</v>
      </c>
      <c r="Q80" s="157"/>
      <c r="R80" s="321">
        <v>25201</v>
      </c>
      <c r="S80" s="321">
        <f t="shared" ref="S80" si="61">IF(N80=3,R80,)</f>
        <v>0</v>
      </c>
      <c r="T80" s="321">
        <f t="shared" ref="T80" si="62">IF(OR(N80=1,N80=2),R80,)</f>
        <v>25201</v>
      </c>
      <c r="U80" s="321">
        <f t="shared" ref="U80" si="63">S80*E80</f>
        <v>0</v>
      </c>
      <c r="V80" s="322">
        <f t="shared" si="57"/>
        <v>0</v>
      </c>
      <c r="W80" s="322">
        <f t="shared" si="57"/>
        <v>0</v>
      </c>
      <c r="X80" s="322">
        <f t="shared" si="57"/>
        <v>0</v>
      </c>
    </row>
    <row r="81" spans="1:24" s="158" customFormat="1" ht="24.95" customHeight="1">
      <c r="A81" s="215"/>
      <c r="B81" s="222"/>
      <c r="C81" s="223"/>
      <c r="D81" s="317"/>
      <c r="E81" s="318"/>
      <c r="F81" s="216"/>
      <c r="G81" s="216"/>
      <c r="H81" s="316"/>
      <c r="I81" s="243"/>
      <c r="J81" s="217"/>
      <c r="K81" s="218"/>
      <c r="L81" s="218"/>
      <c r="M81" s="219"/>
      <c r="N81" s="187"/>
      <c r="O81" s="187"/>
      <c r="P81" s="156"/>
      <c r="Q81" s="157"/>
      <c r="R81" s="321"/>
      <c r="S81" s="321"/>
      <c r="T81" s="321"/>
      <c r="U81" s="321"/>
      <c r="V81" s="322"/>
      <c r="W81" s="322"/>
      <c r="X81" s="322"/>
    </row>
    <row r="82" spans="1:24" s="158" customFormat="1" ht="24.95" customHeight="1">
      <c r="A82" s="215"/>
      <c r="B82" s="222"/>
      <c r="C82" s="223"/>
      <c r="D82" s="317"/>
      <c r="E82" s="318"/>
      <c r="F82" s="216"/>
      <c r="G82" s="216"/>
      <c r="H82" s="316"/>
      <c r="I82" s="243"/>
      <c r="J82" s="217"/>
      <c r="K82" s="218"/>
      <c r="L82" s="218"/>
      <c r="M82" s="219"/>
      <c r="N82" s="187"/>
      <c r="O82" s="187"/>
      <c r="P82" s="156"/>
      <c r="Q82" s="157"/>
      <c r="R82" s="321"/>
      <c r="S82" s="321"/>
      <c r="T82" s="321"/>
      <c r="U82" s="321"/>
      <c r="V82" s="322"/>
      <c r="W82" s="322"/>
      <c r="X82" s="322"/>
    </row>
    <row r="83" spans="1:24" s="158" customFormat="1" ht="24.95" customHeight="1">
      <c r="A83" s="215"/>
      <c r="B83" s="222"/>
      <c r="C83" s="223"/>
      <c r="D83" s="317"/>
      <c r="E83" s="318"/>
      <c r="F83" s="216"/>
      <c r="G83" s="216"/>
      <c r="H83" s="316"/>
      <c r="I83" s="243"/>
      <c r="J83" s="217"/>
      <c r="K83" s="218"/>
      <c r="L83" s="218"/>
      <c r="M83" s="219"/>
      <c r="N83" s="187"/>
      <c r="O83" s="187"/>
      <c r="P83" s="156"/>
      <c r="Q83" s="157"/>
      <c r="R83" s="321"/>
      <c r="S83" s="321"/>
      <c r="T83" s="321"/>
      <c r="U83" s="321"/>
      <c r="V83" s="322"/>
      <c r="W83" s="322"/>
      <c r="X83" s="322"/>
    </row>
    <row r="84" spans="1:24" s="158" customFormat="1" ht="24.95" customHeight="1">
      <c r="A84" s="215"/>
      <c r="B84" s="222"/>
      <c r="C84" s="223"/>
      <c r="D84" s="317"/>
      <c r="E84" s="318"/>
      <c r="F84" s="216"/>
      <c r="G84" s="216"/>
      <c r="H84" s="316"/>
      <c r="I84" s="243"/>
      <c r="J84" s="217"/>
      <c r="K84" s="218"/>
      <c r="L84" s="218"/>
      <c r="M84" s="219"/>
      <c r="N84" s="187"/>
      <c r="O84" s="187"/>
      <c r="P84" s="156"/>
      <c r="Q84" s="157"/>
      <c r="R84" s="321"/>
      <c r="S84" s="321"/>
      <c r="T84" s="321"/>
      <c r="U84" s="321"/>
      <c r="V84" s="322"/>
      <c r="W84" s="322"/>
      <c r="X84" s="322"/>
    </row>
    <row r="85" spans="1:24" s="158" customFormat="1" ht="24.95" customHeight="1">
      <c r="A85" s="215"/>
      <c r="B85" s="222"/>
      <c r="C85" s="223"/>
      <c r="D85" s="317"/>
      <c r="E85" s="318"/>
      <c r="F85" s="216"/>
      <c r="G85" s="216"/>
      <c r="H85" s="316"/>
      <c r="I85" s="243"/>
      <c r="J85" s="217"/>
      <c r="K85" s="218"/>
      <c r="L85" s="218"/>
      <c r="M85" s="219"/>
      <c r="N85" s="187"/>
      <c r="O85" s="187"/>
      <c r="P85" s="156"/>
      <c r="Q85" s="157"/>
      <c r="R85" s="321"/>
      <c r="S85" s="321"/>
      <c r="T85" s="321"/>
      <c r="U85" s="321"/>
      <c r="V85" s="322"/>
      <c r="W85" s="322"/>
      <c r="X85" s="322"/>
    </row>
    <row r="86" spans="1:24" s="158" customFormat="1" ht="24.95" customHeight="1">
      <c r="A86" s="215"/>
      <c r="B86" s="222"/>
      <c r="C86" s="223"/>
      <c r="D86" s="317"/>
      <c r="E86" s="318"/>
      <c r="F86" s="216"/>
      <c r="G86" s="216"/>
      <c r="H86" s="316"/>
      <c r="I86" s="243"/>
      <c r="J86" s="217"/>
      <c r="K86" s="218"/>
      <c r="L86" s="218"/>
      <c r="M86" s="219"/>
      <c r="N86" s="187"/>
      <c r="O86" s="187"/>
      <c r="P86" s="156"/>
      <c r="Q86" s="157"/>
      <c r="R86" s="321"/>
      <c r="S86" s="321"/>
      <c r="T86" s="321"/>
      <c r="U86" s="321"/>
      <c r="V86" s="322"/>
      <c r="W86" s="322"/>
      <c r="X86" s="322"/>
    </row>
    <row r="87" spans="1:24" s="158" customFormat="1" ht="24.95" customHeight="1">
      <c r="A87" s="215"/>
      <c r="B87" s="222"/>
      <c r="C87" s="223"/>
      <c r="D87" s="317"/>
      <c r="E87" s="318"/>
      <c r="F87" s="216"/>
      <c r="G87" s="216"/>
      <c r="H87" s="316"/>
      <c r="I87" s="243"/>
      <c r="J87" s="217"/>
      <c r="K87" s="218"/>
      <c r="L87" s="218"/>
      <c r="M87" s="219"/>
      <c r="N87" s="187"/>
      <c r="O87" s="187"/>
      <c r="P87" s="156"/>
      <c r="Q87" s="157"/>
      <c r="R87" s="321"/>
      <c r="S87" s="321"/>
      <c r="T87" s="321"/>
      <c r="U87" s="321"/>
      <c r="V87" s="322"/>
      <c r="W87" s="322"/>
      <c r="X87" s="322"/>
    </row>
    <row r="88" spans="1:24" s="158" customFormat="1" ht="24.95" customHeight="1">
      <c r="A88" s="215"/>
      <c r="B88" s="222"/>
      <c r="C88" s="223"/>
      <c r="D88" s="317"/>
      <c r="E88" s="318"/>
      <c r="F88" s="216"/>
      <c r="G88" s="216"/>
      <c r="H88" s="316"/>
      <c r="I88" s="243"/>
      <c r="J88" s="217"/>
      <c r="K88" s="218"/>
      <c r="L88" s="218"/>
      <c r="M88" s="219"/>
      <c r="N88" s="187"/>
      <c r="O88" s="187"/>
      <c r="P88" s="156"/>
      <c r="Q88" s="157"/>
      <c r="R88" s="321"/>
      <c r="S88" s="321"/>
      <c r="T88" s="321"/>
      <c r="U88" s="321"/>
      <c r="V88" s="322"/>
      <c r="W88" s="322"/>
      <c r="X88" s="322"/>
    </row>
    <row r="89" spans="1:24" s="158" customFormat="1" ht="24.95" customHeight="1">
      <c r="A89" s="215"/>
      <c r="B89" s="222"/>
      <c r="C89" s="223"/>
      <c r="D89" s="317"/>
      <c r="E89" s="318"/>
      <c r="F89" s="216"/>
      <c r="G89" s="216"/>
      <c r="H89" s="316"/>
      <c r="I89" s="243"/>
      <c r="J89" s="217"/>
      <c r="K89" s="218"/>
      <c r="L89" s="218"/>
      <c r="M89" s="219"/>
      <c r="N89" s="187"/>
      <c r="O89" s="187"/>
      <c r="P89" s="156"/>
      <c r="Q89" s="157"/>
      <c r="R89" s="321"/>
      <c r="S89" s="321"/>
      <c r="T89" s="321"/>
      <c r="U89" s="321"/>
      <c r="V89" s="322"/>
      <c r="W89" s="322"/>
      <c r="X89" s="322"/>
    </row>
    <row r="90" spans="1:24" s="158" customFormat="1" ht="24.95" customHeight="1">
      <c r="A90" s="215"/>
      <c r="B90" s="222"/>
      <c r="C90" s="223"/>
      <c r="D90" s="317"/>
      <c r="E90" s="318"/>
      <c r="F90" s="216"/>
      <c r="G90" s="216"/>
      <c r="H90" s="316"/>
      <c r="I90" s="243"/>
      <c r="J90" s="217"/>
      <c r="K90" s="218"/>
      <c r="L90" s="218"/>
      <c r="M90" s="219"/>
      <c r="N90" s="187"/>
      <c r="O90" s="187"/>
      <c r="P90" s="156"/>
      <c r="Q90" s="157"/>
      <c r="R90" s="321"/>
      <c r="S90" s="321"/>
      <c r="T90" s="321"/>
      <c r="U90" s="321"/>
      <c r="V90" s="322"/>
      <c r="W90" s="322"/>
      <c r="X90" s="322"/>
    </row>
    <row r="91" spans="1:24" s="158" customFormat="1" ht="24.95" customHeight="1">
      <c r="A91" s="215"/>
      <c r="B91" s="222"/>
      <c r="C91" s="223"/>
      <c r="D91" s="317"/>
      <c r="E91" s="318"/>
      <c r="F91" s="216"/>
      <c r="G91" s="216"/>
      <c r="H91" s="316"/>
      <c r="I91" s="243"/>
      <c r="J91" s="217"/>
      <c r="K91" s="218"/>
      <c r="L91" s="218"/>
      <c r="M91" s="219"/>
      <c r="N91" s="187"/>
      <c r="O91" s="187"/>
      <c r="P91" s="156"/>
      <c r="Q91" s="157"/>
      <c r="R91" s="321"/>
      <c r="S91" s="321"/>
      <c r="T91" s="321"/>
      <c r="U91" s="321"/>
      <c r="V91" s="322"/>
      <c r="W91" s="322"/>
      <c r="X91" s="322"/>
    </row>
    <row r="92" spans="1:24" s="158" customFormat="1" ht="24.95" customHeight="1">
      <c r="A92" s="215"/>
      <c r="B92" s="222"/>
      <c r="C92" s="223"/>
      <c r="D92" s="317"/>
      <c r="E92" s="318"/>
      <c r="F92" s="216"/>
      <c r="G92" s="216"/>
      <c r="H92" s="316"/>
      <c r="I92" s="243"/>
      <c r="J92" s="217"/>
      <c r="K92" s="218"/>
      <c r="L92" s="218"/>
      <c r="M92" s="219"/>
      <c r="N92" s="187"/>
      <c r="O92" s="187"/>
      <c r="P92" s="156"/>
      <c r="Q92" s="157"/>
      <c r="R92" s="321"/>
      <c r="S92" s="321"/>
      <c r="T92" s="321"/>
      <c r="U92" s="321"/>
      <c r="V92" s="322"/>
      <c r="W92" s="322"/>
      <c r="X92" s="322"/>
    </row>
    <row r="93" spans="1:24" s="158" customFormat="1" ht="24.95" customHeight="1">
      <c r="A93" s="215"/>
      <c r="B93" s="222"/>
      <c r="C93" s="223"/>
      <c r="D93" s="317"/>
      <c r="E93" s="318"/>
      <c r="F93" s="216"/>
      <c r="G93" s="216"/>
      <c r="H93" s="316"/>
      <c r="I93" s="243"/>
      <c r="J93" s="217"/>
      <c r="K93" s="218"/>
      <c r="L93" s="218"/>
      <c r="M93" s="219"/>
      <c r="N93" s="187"/>
      <c r="O93" s="187"/>
      <c r="P93" s="156"/>
      <c r="Q93" s="157"/>
      <c r="R93" s="321"/>
      <c r="S93" s="321"/>
      <c r="T93" s="321"/>
      <c r="U93" s="321"/>
      <c r="V93" s="322"/>
      <c r="W93" s="322"/>
      <c r="X93" s="322"/>
    </row>
    <row r="94" spans="1:24" s="158" customFormat="1" ht="24.95" customHeight="1">
      <c r="A94" s="215"/>
      <c r="B94" s="222"/>
      <c r="C94" s="223"/>
      <c r="D94" s="317"/>
      <c r="E94" s="318"/>
      <c r="F94" s="216"/>
      <c r="G94" s="216"/>
      <c r="H94" s="316"/>
      <c r="I94" s="243"/>
      <c r="J94" s="217"/>
      <c r="K94" s="218"/>
      <c r="L94" s="218"/>
      <c r="M94" s="219"/>
      <c r="N94" s="187"/>
      <c r="O94" s="187"/>
      <c r="P94" s="156"/>
      <c r="Q94" s="157"/>
      <c r="R94" s="321"/>
      <c r="S94" s="321"/>
      <c r="T94" s="321"/>
      <c r="U94" s="321"/>
      <c r="V94" s="322"/>
      <c r="W94" s="322"/>
      <c r="X94" s="322"/>
    </row>
    <row r="95" spans="1:24" s="158" customFormat="1" ht="24.95" customHeight="1">
      <c r="A95" s="215"/>
      <c r="B95" s="222"/>
      <c r="C95" s="223"/>
      <c r="D95" s="317"/>
      <c r="E95" s="318"/>
      <c r="F95" s="216"/>
      <c r="G95" s="216"/>
      <c r="H95" s="316"/>
      <c r="I95" s="243"/>
      <c r="J95" s="217"/>
      <c r="K95" s="218"/>
      <c r="L95" s="218"/>
      <c r="M95" s="219"/>
      <c r="N95" s="187"/>
      <c r="O95" s="187"/>
      <c r="P95" s="156"/>
      <c r="Q95" s="157"/>
      <c r="R95" s="321"/>
      <c r="S95" s="321"/>
      <c r="T95" s="321"/>
      <c r="U95" s="321"/>
      <c r="V95" s="322"/>
      <c r="W95" s="322"/>
      <c r="X95" s="322"/>
    </row>
    <row r="96" spans="1:24" s="158" customFormat="1" ht="24.95" customHeight="1">
      <c r="A96" s="215"/>
      <c r="B96" s="222"/>
      <c r="C96" s="223"/>
      <c r="D96" s="317"/>
      <c r="E96" s="318"/>
      <c r="F96" s="216"/>
      <c r="G96" s="216"/>
      <c r="H96" s="316"/>
      <c r="I96" s="243"/>
      <c r="J96" s="217"/>
      <c r="K96" s="218"/>
      <c r="L96" s="218"/>
      <c r="M96" s="219"/>
      <c r="N96" s="187"/>
      <c r="O96" s="187"/>
      <c r="P96" s="156"/>
      <c r="Q96" s="157"/>
      <c r="R96" s="321"/>
      <c r="S96" s="321"/>
      <c r="T96" s="321"/>
      <c r="U96" s="321"/>
      <c r="V96" s="322"/>
      <c r="W96" s="322"/>
      <c r="X96" s="322"/>
    </row>
    <row r="97" spans="1:24" s="158" customFormat="1" ht="24.95" customHeight="1">
      <c r="A97" s="215"/>
      <c r="B97" s="222"/>
      <c r="C97" s="223"/>
      <c r="D97" s="317"/>
      <c r="E97" s="318"/>
      <c r="F97" s="216"/>
      <c r="G97" s="216"/>
      <c r="H97" s="316"/>
      <c r="I97" s="243"/>
      <c r="J97" s="217"/>
      <c r="K97" s="218"/>
      <c r="L97" s="218"/>
      <c r="M97" s="219"/>
      <c r="N97" s="187"/>
      <c r="O97" s="187"/>
      <c r="P97" s="156"/>
      <c r="Q97" s="157"/>
      <c r="R97" s="321"/>
      <c r="S97" s="321"/>
      <c r="T97" s="321"/>
      <c r="U97" s="321"/>
      <c r="V97" s="322"/>
      <c r="W97" s="322"/>
      <c r="X97" s="322"/>
    </row>
    <row r="98" spans="1:24" s="158" customFormat="1" ht="24.95" customHeight="1">
      <c r="A98" s="215"/>
      <c r="B98" s="222"/>
      <c r="C98" s="223"/>
      <c r="D98" s="317"/>
      <c r="E98" s="318"/>
      <c r="F98" s="216"/>
      <c r="G98" s="216"/>
      <c r="H98" s="316"/>
      <c r="I98" s="243"/>
      <c r="J98" s="217"/>
      <c r="K98" s="218"/>
      <c r="L98" s="218"/>
      <c r="M98" s="219"/>
      <c r="N98" s="187"/>
      <c r="O98" s="187"/>
      <c r="P98" s="156"/>
      <c r="Q98" s="157"/>
      <c r="R98" s="321"/>
      <c r="S98" s="321"/>
      <c r="T98" s="321"/>
      <c r="U98" s="321"/>
      <c r="V98" s="322"/>
      <c r="W98" s="322"/>
      <c r="X98" s="322"/>
    </row>
    <row r="99" spans="1:24" s="158" customFormat="1" ht="24.95" customHeight="1">
      <c r="A99" s="193"/>
      <c r="B99" s="204"/>
      <c r="C99" s="204"/>
      <c r="D99" s="205"/>
      <c r="E99" s="205"/>
      <c r="F99" s="194"/>
      <c r="G99" s="194"/>
      <c r="H99" s="206"/>
      <c r="I99" s="206"/>
      <c r="J99" s="196"/>
      <c r="K99" s="196"/>
      <c r="L99" s="196"/>
      <c r="M99" s="197"/>
      <c r="N99" s="187"/>
      <c r="O99" s="187"/>
      <c r="P99" s="156"/>
      <c r="Q99" s="157"/>
      <c r="R99" s="321"/>
      <c r="S99" s="321"/>
      <c r="T99" s="321"/>
      <c r="U99" s="321"/>
      <c r="V99" s="322"/>
      <c r="W99" s="322"/>
      <c r="X99" s="322"/>
    </row>
    <row r="100" spans="1:24" s="158" customFormat="1" ht="24.95" customHeight="1">
      <c r="A100" s="193"/>
      <c r="B100" s="207"/>
      <c r="C100" s="207"/>
      <c r="D100" s="205"/>
      <c r="E100" s="205"/>
      <c r="F100" s="194"/>
      <c r="G100" s="194"/>
      <c r="H100" s="208"/>
      <c r="I100" s="206"/>
      <c r="J100" s="196"/>
      <c r="K100" s="196"/>
      <c r="L100" s="196"/>
      <c r="M100" s="197"/>
      <c r="N100" s="187"/>
      <c r="O100" s="187"/>
      <c r="P100" s="156"/>
      <c r="Q100" s="157"/>
      <c r="R100" s="321"/>
      <c r="S100" s="321"/>
      <c r="T100" s="321"/>
      <c r="U100" s="321"/>
      <c r="V100" s="322"/>
      <c r="W100" s="322"/>
      <c r="X100" s="322"/>
    </row>
    <row r="101" spans="1:24" s="158" customFormat="1" ht="24.95" customHeight="1">
      <c r="A101" s="193"/>
      <c r="B101" s="204"/>
      <c r="C101" s="204"/>
      <c r="D101" s="205"/>
      <c r="E101" s="205"/>
      <c r="F101" s="194"/>
      <c r="G101" s="194"/>
      <c r="H101" s="206"/>
      <c r="I101" s="206"/>
      <c r="J101" s="196"/>
      <c r="K101" s="196"/>
      <c r="L101" s="196"/>
      <c r="M101" s="197"/>
      <c r="N101" s="187"/>
      <c r="O101" s="187"/>
      <c r="P101" s="156"/>
      <c r="Q101" s="157"/>
      <c r="R101" s="321"/>
      <c r="S101" s="321"/>
      <c r="T101" s="321"/>
      <c r="U101" s="321"/>
      <c r="V101" s="322"/>
      <c r="W101" s="322"/>
      <c r="X101" s="322"/>
    </row>
    <row r="102" spans="1:24" s="158" customFormat="1" ht="24.95" customHeight="1">
      <c r="A102" s="209" t="s">
        <v>102</v>
      </c>
      <c r="B102" s="210"/>
      <c r="C102" s="210"/>
      <c r="D102" s="211">
        <f>SUBTOTAL(9,D3:D101)</f>
        <v>0</v>
      </c>
      <c r="E102" s="211">
        <f>SUBTOTAL(9,E3:E101)</f>
        <v>16843</v>
      </c>
      <c r="F102" s="212"/>
      <c r="G102" s="212"/>
      <c r="H102" s="212"/>
      <c r="I102" s="212"/>
      <c r="J102" s="212"/>
      <c r="K102" s="212"/>
      <c r="L102" s="212"/>
      <c r="M102" s="213"/>
      <c r="N102" s="190"/>
      <c r="O102" s="190"/>
      <c r="P102" s="156" t="str">
        <f t="shared" ref="P102:P165" si="64">CONCATENATE(C102,H102)</f>
        <v/>
      </c>
      <c r="Q102" s="157"/>
      <c r="R102" s="321"/>
      <c r="S102" s="321"/>
      <c r="T102" s="321"/>
      <c r="U102" s="321"/>
      <c r="V102" s="322"/>
      <c r="W102" s="322"/>
      <c r="X102" s="322"/>
    </row>
    <row r="103" spans="1:24" ht="24.95" customHeight="1">
      <c r="A103" s="110"/>
      <c r="B103" s="91"/>
      <c r="C103" s="149"/>
      <c r="D103" s="153"/>
      <c r="E103" s="153"/>
      <c r="F103" s="90"/>
      <c r="G103" s="90"/>
      <c r="H103" s="90"/>
      <c r="I103" s="90"/>
      <c r="J103" s="90"/>
      <c r="K103" s="90"/>
      <c r="L103" s="90"/>
      <c r="M103" s="149"/>
      <c r="N103" s="192"/>
      <c r="O103" s="192"/>
      <c r="P103" s="111" t="str">
        <f t="shared" si="64"/>
        <v/>
      </c>
      <c r="Q103" s="112"/>
      <c r="R103" s="321"/>
      <c r="S103" s="321">
        <f>IF(N124=3,R124,)</f>
        <v>0</v>
      </c>
      <c r="T103" s="321">
        <f>IF(OR(N124=1,N124=2),R124,)</f>
        <v>0</v>
      </c>
      <c r="U103" s="321">
        <f>SUBTOTAL(9,U3:U102)</f>
        <v>338591900</v>
      </c>
      <c r="V103" s="322">
        <f>ROUND($U103*V$2,0)</f>
        <v>677183800</v>
      </c>
      <c r="W103" s="322">
        <f>ROUND($U103*W$2,0)</f>
        <v>1015775700</v>
      </c>
      <c r="X103" s="322">
        <f>ROUND($U103*X$2,0)</f>
        <v>1354367600</v>
      </c>
    </row>
    <row r="104" spans="1:24" ht="24.95" customHeight="1">
      <c r="A104" s="110"/>
      <c r="B104" s="91"/>
      <c r="C104" s="149"/>
      <c r="D104" s="153"/>
      <c r="E104" s="153"/>
      <c r="F104" s="90"/>
      <c r="G104" s="90"/>
      <c r="H104" s="90"/>
      <c r="I104" s="90"/>
      <c r="J104" s="90"/>
      <c r="K104" s="90"/>
      <c r="L104" s="90"/>
      <c r="M104" s="149"/>
      <c r="N104" s="192"/>
      <c r="O104" s="192"/>
      <c r="P104" s="111" t="str">
        <f t="shared" si="64"/>
        <v/>
      </c>
      <c r="Q104" s="112"/>
      <c r="R104" s="321"/>
    </row>
    <row r="105" spans="1:24" ht="24.95" customHeight="1">
      <c r="A105" s="110"/>
      <c r="B105" s="91"/>
      <c r="C105" s="149"/>
      <c r="D105" s="153"/>
      <c r="E105" s="153"/>
      <c r="F105" s="90"/>
      <c r="G105" s="90"/>
      <c r="H105" s="90"/>
      <c r="I105" s="90"/>
      <c r="J105" s="90"/>
      <c r="K105" s="90"/>
      <c r="L105" s="90"/>
      <c r="M105" s="149"/>
      <c r="N105" s="192"/>
      <c r="O105" s="192"/>
      <c r="P105" s="111" t="str">
        <f t="shared" si="64"/>
        <v/>
      </c>
      <c r="Q105" s="112"/>
      <c r="R105" s="321"/>
    </row>
    <row r="106" spans="1:24" ht="24.95" customHeight="1">
      <c r="A106" s="110"/>
      <c r="B106" s="91"/>
      <c r="C106" s="149"/>
      <c r="D106" s="153"/>
      <c r="E106" s="153"/>
      <c r="F106" s="90"/>
      <c r="G106" s="90"/>
      <c r="H106" s="90"/>
      <c r="I106" s="90"/>
      <c r="J106" s="90"/>
      <c r="K106" s="90"/>
      <c r="L106" s="90"/>
      <c r="M106" s="149"/>
      <c r="N106" s="192"/>
      <c r="O106" s="192"/>
      <c r="P106" s="111" t="str">
        <f t="shared" si="64"/>
        <v/>
      </c>
      <c r="Q106" s="112"/>
      <c r="R106" s="321"/>
    </row>
    <row r="107" spans="1:24" ht="32.1" customHeight="1">
      <c r="A107" s="110"/>
      <c r="B107" s="91"/>
      <c r="C107" s="91"/>
      <c r="D107" s="153"/>
      <c r="E107" s="153"/>
      <c r="F107" s="90"/>
      <c r="G107" s="90"/>
      <c r="H107" s="90"/>
      <c r="I107" s="90"/>
      <c r="J107" s="90"/>
      <c r="K107" s="90"/>
      <c r="L107" s="90"/>
      <c r="M107" s="149"/>
      <c r="N107" s="192"/>
      <c r="O107" s="192"/>
      <c r="P107" s="111" t="str">
        <f t="shared" si="64"/>
        <v/>
      </c>
      <c r="Q107" s="112"/>
      <c r="R107" s="321"/>
    </row>
    <row r="108" spans="1:24" ht="32.1" customHeight="1">
      <c r="A108" s="110"/>
      <c r="B108" s="91"/>
      <c r="C108" s="91"/>
      <c r="D108" s="153"/>
      <c r="E108" s="153"/>
      <c r="F108" s="90"/>
      <c r="G108" s="90"/>
      <c r="H108" s="90"/>
      <c r="I108" s="90"/>
      <c r="J108" s="90"/>
      <c r="K108" s="90"/>
      <c r="L108" s="90"/>
      <c r="M108" s="149"/>
      <c r="N108" s="192"/>
      <c r="O108" s="192"/>
      <c r="P108" s="111" t="str">
        <f t="shared" si="64"/>
        <v/>
      </c>
      <c r="Q108" s="112"/>
      <c r="R108" s="321"/>
    </row>
    <row r="109" spans="1:24" ht="32.1" customHeight="1">
      <c r="D109" s="155"/>
      <c r="E109" s="154"/>
      <c r="M109" s="110"/>
      <c r="N109" s="151"/>
      <c r="O109" s="151"/>
      <c r="P109" s="111" t="str">
        <f t="shared" si="64"/>
        <v/>
      </c>
      <c r="Q109" s="112"/>
      <c r="R109" s="321"/>
    </row>
    <row r="110" spans="1:24" ht="32.1" customHeight="1">
      <c r="D110" s="155"/>
      <c r="E110" s="154"/>
      <c r="M110" s="90"/>
      <c r="N110" s="150"/>
      <c r="O110" s="150"/>
      <c r="P110" s="111" t="str">
        <f t="shared" si="64"/>
        <v/>
      </c>
      <c r="Q110" s="112"/>
      <c r="R110" s="321"/>
    </row>
    <row r="111" spans="1:24" ht="32.1" customHeight="1">
      <c r="D111" s="155"/>
      <c r="E111" s="154"/>
      <c r="M111" s="90"/>
      <c r="N111" s="150"/>
      <c r="O111" s="150"/>
      <c r="P111" s="111" t="str">
        <f t="shared" si="64"/>
        <v/>
      </c>
      <c r="Q111" s="112"/>
      <c r="R111" s="321"/>
    </row>
    <row r="112" spans="1:24" ht="32.1" customHeight="1">
      <c r="D112" s="155"/>
      <c r="E112" s="154"/>
      <c r="M112" s="90"/>
      <c r="N112" s="150"/>
      <c r="O112" s="150"/>
      <c r="P112" s="111" t="str">
        <f t="shared" si="64"/>
        <v/>
      </c>
      <c r="Q112" s="112"/>
      <c r="R112" s="321"/>
    </row>
    <row r="113" spans="4:18" ht="32.1" customHeight="1">
      <c r="D113" s="155"/>
      <c r="E113" s="154"/>
      <c r="M113" s="90"/>
      <c r="N113" s="150"/>
      <c r="O113" s="150"/>
      <c r="P113" s="111" t="str">
        <f t="shared" si="64"/>
        <v/>
      </c>
      <c r="Q113" s="112"/>
      <c r="R113" s="321"/>
    </row>
    <row r="114" spans="4:18" ht="32.1" customHeight="1">
      <c r="D114" s="155"/>
      <c r="E114" s="154"/>
      <c r="M114" s="90"/>
      <c r="N114" s="150"/>
      <c r="O114" s="150"/>
      <c r="P114" s="111" t="str">
        <f t="shared" si="64"/>
        <v/>
      </c>
      <c r="Q114" s="112"/>
      <c r="R114" s="321"/>
    </row>
    <row r="115" spans="4:18" ht="32.1" customHeight="1">
      <c r="D115" s="155"/>
      <c r="E115" s="154"/>
      <c r="M115" s="90"/>
      <c r="N115" s="150"/>
      <c r="O115" s="150"/>
      <c r="P115" s="111" t="str">
        <f t="shared" si="64"/>
        <v/>
      </c>
      <c r="Q115" s="112"/>
      <c r="R115" s="321"/>
    </row>
    <row r="116" spans="4:18" ht="32.1" customHeight="1">
      <c r="D116" s="155"/>
      <c r="E116" s="154"/>
      <c r="M116" s="90"/>
      <c r="N116" s="150"/>
      <c r="O116" s="150"/>
      <c r="P116" s="111" t="str">
        <f t="shared" si="64"/>
        <v/>
      </c>
      <c r="Q116" s="112"/>
      <c r="R116" s="321"/>
    </row>
    <row r="117" spans="4:18" ht="32.1" customHeight="1">
      <c r="D117" s="155"/>
      <c r="E117" s="154"/>
      <c r="M117" s="90"/>
      <c r="N117" s="150"/>
      <c r="O117" s="150"/>
      <c r="P117" s="111" t="str">
        <f t="shared" si="64"/>
        <v/>
      </c>
      <c r="Q117" s="112"/>
      <c r="R117" s="321"/>
    </row>
    <row r="118" spans="4:18" ht="32.1" customHeight="1">
      <c r="D118" s="155"/>
      <c r="E118" s="154"/>
      <c r="M118" s="90"/>
      <c r="N118" s="150"/>
      <c r="O118" s="150"/>
      <c r="P118" s="111" t="str">
        <f t="shared" si="64"/>
        <v/>
      </c>
      <c r="Q118" s="112"/>
      <c r="R118" s="321"/>
    </row>
    <row r="119" spans="4:18" ht="32.1" customHeight="1">
      <c r="D119" s="155"/>
      <c r="E119" s="154"/>
      <c r="M119" s="90"/>
      <c r="N119" s="150"/>
      <c r="O119" s="150"/>
      <c r="P119" s="111" t="str">
        <f t="shared" si="64"/>
        <v/>
      </c>
      <c r="Q119" s="112"/>
      <c r="R119" s="321"/>
    </row>
    <row r="120" spans="4:18" ht="32.1" customHeight="1">
      <c r="D120" s="155"/>
      <c r="E120" s="154"/>
      <c r="M120" s="90"/>
      <c r="N120" s="150"/>
      <c r="O120" s="150"/>
      <c r="P120" s="111" t="str">
        <f t="shared" si="64"/>
        <v/>
      </c>
      <c r="Q120" s="112"/>
      <c r="R120" s="321"/>
    </row>
    <row r="121" spans="4:18" ht="32.1" customHeight="1">
      <c r="D121" s="155"/>
      <c r="E121" s="154"/>
      <c r="M121" s="90"/>
      <c r="N121" s="150"/>
      <c r="O121" s="150"/>
      <c r="P121" s="111" t="str">
        <f t="shared" si="64"/>
        <v/>
      </c>
      <c r="Q121" s="112"/>
      <c r="R121" s="321"/>
    </row>
    <row r="122" spans="4:18" ht="32.1" customHeight="1">
      <c r="D122" s="155"/>
      <c r="E122" s="154"/>
      <c r="M122" s="90"/>
      <c r="N122" s="150"/>
      <c r="O122" s="150"/>
      <c r="P122" s="111" t="str">
        <f t="shared" si="64"/>
        <v/>
      </c>
      <c r="Q122" s="112"/>
      <c r="R122" s="321"/>
    </row>
    <row r="123" spans="4:18" ht="32.1" customHeight="1">
      <c r="D123" s="155"/>
      <c r="E123" s="154"/>
      <c r="M123" s="90"/>
      <c r="N123" s="150"/>
      <c r="O123" s="150"/>
      <c r="P123" s="111" t="str">
        <f t="shared" si="64"/>
        <v/>
      </c>
      <c r="Q123" s="112"/>
      <c r="R123" s="321"/>
    </row>
    <row r="124" spans="4:18" ht="32.1" customHeight="1">
      <c r="D124" s="155"/>
      <c r="E124" s="154"/>
      <c r="M124" s="90"/>
      <c r="N124" s="150"/>
      <c r="O124" s="150"/>
      <c r="P124" s="111" t="str">
        <f t="shared" si="64"/>
        <v/>
      </c>
      <c r="Q124" s="112"/>
      <c r="R124" s="321"/>
    </row>
    <row r="125" spans="4:18" ht="32.1" customHeight="1">
      <c r="D125" s="155"/>
      <c r="E125" s="154"/>
      <c r="M125" s="90"/>
      <c r="N125" s="150"/>
      <c r="O125" s="150"/>
      <c r="P125" s="111" t="str">
        <f t="shared" si="64"/>
        <v/>
      </c>
      <c r="Q125" s="112"/>
    </row>
    <row r="126" spans="4:18" ht="32.1" customHeight="1">
      <c r="D126" s="155"/>
      <c r="E126" s="154"/>
      <c r="M126" s="90"/>
      <c r="N126" s="150"/>
      <c r="O126" s="150"/>
      <c r="P126" s="111" t="str">
        <f t="shared" si="64"/>
        <v/>
      </c>
      <c r="Q126" s="112"/>
    </row>
    <row r="127" spans="4:18" ht="32.1" customHeight="1">
      <c r="D127" s="155"/>
      <c r="E127" s="154"/>
      <c r="M127" s="90"/>
      <c r="N127" s="150"/>
      <c r="O127" s="150"/>
      <c r="P127" s="111" t="str">
        <f t="shared" si="64"/>
        <v/>
      </c>
      <c r="Q127" s="112"/>
    </row>
    <row r="128" spans="4:18" ht="32.1" customHeight="1">
      <c r="D128" s="155"/>
      <c r="E128" s="154"/>
      <c r="M128" s="90"/>
      <c r="N128" s="150"/>
      <c r="O128" s="150"/>
      <c r="P128" s="111" t="str">
        <f t="shared" si="64"/>
        <v/>
      </c>
      <c r="Q128" s="112"/>
    </row>
    <row r="129" spans="4:17" ht="32.1" customHeight="1">
      <c r="D129" s="155"/>
      <c r="E129" s="154"/>
      <c r="M129" s="90"/>
      <c r="N129" s="150"/>
      <c r="O129" s="150"/>
      <c r="P129" s="111" t="str">
        <f t="shared" si="64"/>
        <v/>
      </c>
      <c r="Q129" s="112"/>
    </row>
    <row r="130" spans="4:17" ht="32.1" customHeight="1">
      <c r="D130" s="155"/>
      <c r="E130" s="154"/>
      <c r="M130" s="110"/>
      <c r="N130" s="151"/>
      <c r="O130" s="151"/>
      <c r="P130" s="111" t="str">
        <f t="shared" si="64"/>
        <v/>
      </c>
      <c r="Q130" s="112"/>
    </row>
    <row r="131" spans="4:17" ht="32.1" customHeight="1">
      <c r="D131" s="155"/>
      <c r="E131" s="154"/>
      <c r="P131" s="111" t="str">
        <f t="shared" si="64"/>
        <v/>
      </c>
      <c r="Q131" s="112"/>
    </row>
    <row r="132" spans="4:17" ht="32.1" customHeight="1">
      <c r="D132" s="155"/>
      <c r="E132" s="154"/>
      <c r="P132" s="111" t="str">
        <f t="shared" si="64"/>
        <v/>
      </c>
      <c r="Q132" s="112"/>
    </row>
    <row r="133" spans="4:17" ht="32.1" customHeight="1">
      <c r="D133" s="155"/>
      <c r="E133" s="154"/>
      <c r="P133" s="111" t="str">
        <f t="shared" si="64"/>
        <v/>
      </c>
      <c r="Q133" s="112"/>
    </row>
    <row r="134" spans="4:17" ht="32.1" customHeight="1">
      <c r="D134" s="155"/>
      <c r="E134" s="154"/>
      <c r="P134" s="111" t="str">
        <f t="shared" si="64"/>
        <v/>
      </c>
      <c r="Q134" s="112"/>
    </row>
    <row r="135" spans="4:17" ht="32.1" customHeight="1">
      <c r="D135" s="155"/>
      <c r="E135" s="154"/>
      <c r="P135" s="111" t="str">
        <f t="shared" si="64"/>
        <v/>
      </c>
      <c r="Q135" s="112"/>
    </row>
    <row r="136" spans="4:17" ht="32.1" customHeight="1">
      <c r="D136" s="155"/>
      <c r="E136" s="154"/>
      <c r="P136" s="111" t="str">
        <f t="shared" si="64"/>
        <v/>
      </c>
      <c r="Q136" s="112"/>
    </row>
    <row r="137" spans="4:17" ht="32.1" customHeight="1">
      <c r="D137" s="155"/>
      <c r="E137" s="154"/>
      <c r="P137" s="111" t="str">
        <f t="shared" si="64"/>
        <v/>
      </c>
      <c r="Q137" s="112"/>
    </row>
    <row r="138" spans="4:17" ht="32.1" customHeight="1">
      <c r="D138" s="155"/>
      <c r="E138" s="154"/>
      <c r="P138" s="111" t="str">
        <f t="shared" si="64"/>
        <v/>
      </c>
      <c r="Q138" s="112"/>
    </row>
    <row r="139" spans="4:17" ht="32.1" customHeight="1">
      <c r="D139" s="155"/>
      <c r="E139" s="154"/>
      <c r="P139" s="111" t="str">
        <f t="shared" si="64"/>
        <v/>
      </c>
      <c r="Q139" s="112"/>
    </row>
    <row r="140" spans="4:17" ht="32.1" customHeight="1">
      <c r="D140" s="155"/>
      <c r="E140" s="154"/>
      <c r="P140" s="111" t="str">
        <f t="shared" si="64"/>
        <v/>
      </c>
      <c r="Q140" s="112"/>
    </row>
    <row r="141" spans="4:17" ht="32.1" customHeight="1">
      <c r="D141" s="155"/>
      <c r="E141" s="154"/>
      <c r="P141" s="111" t="str">
        <f t="shared" si="64"/>
        <v/>
      </c>
      <c r="Q141" s="112"/>
    </row>
    <row r="142" spans="4:17" ht="32.1" customHeight="1">
      <c r="D142" s="155"/>
      <c r="E142" s="154"/>
      <c r="P142" s="111" t="str">
        <f t="shared" si="64"/>
        <v/>
      </c>
      <c r="Q142" s="112"/>
    </row>
    <row r="143" spans="4:17" ht="32.1" customHeight="1">
      <c r="D143" s="155"/>
      <c r="E143" s="154"/>
      <c r="P143" s="111" t="str">
        <f t="shared" si="64"/>
        <v/>
      </c>
      <c r="Q143" s="112"/>
    </row>
    <row r="144" spans="4:17" ht="32.1" customHeight="1">
      <c r="D144" s="155"/>
      <c r="E144" s="154"/>
      <c r="P144" s="111" t="str">
        <f t="shared" si="64"/>
        <v/>
      </c>
      <c r="Q144" s="112"/>
    </row>
    <row r="145" spans="4:17" ht="32.1" customHeight="1">
      <c r="D145" s="155"/>
      <c r="E145" s="154"/>
      <c r="P145" s="111" t="str">
        <f t="shared" si="64"/>
        <v/>
      </c>
      <c r="Q145" s="112"/>
    </row>
    <row r="146" spans="4:17" ht="32.1" customHeight="1">
      <c r="D146" s="155"/>
      <c r="E146" s="154"/>
      <c r="P146" s="111" t="str">
        <f t="shared" si="64"/>
        <v/>
      </c>
      <c r="Q146" s="112"/>
    </row>
    <row r="147" spans="4:17" ht="32.1" customHeight="1">
      <c r="D147" s="155"/>
      <c r="E147" s="154"/>
      <c r="P147" s="111" t="str">
        <f t="shared" si="64"/>
        <v/>
      </c>
      <c r="Q147" s="112"/>
    </row>
    <row r="148" spans="4:17" ht="32.1" customHeight="1">
      <c r="D148" s="155"/>
      <c r="E148" s="154"/>
      <c r="P148" s="111" t="str">
        <f t="shared" si="64"/>
        <v/>
      </c>
      <c r="Q148" s="112"/>
    </row>
    <row r="149" spans="4:17" ht="32.1" customHeight="1">
      <c r="D149" s="155"/>
      <c r="E149" s="154"/>
      <c r="P149" s="111" t="str">
        <f t="shared" si="64"/>
        <v/>
      </c>
      <c r="Q149" s="112"/>
    </row>
    <row r="150" spans="4:17" ht="32.1" customHeight="1">
      <c r="D150" s="155"/>
      <c r="E150" s="154"/>
      <c r="P150" s="111" t="str">
        <f t="shared" si="64"/>
        <v/>
      </c>
      <c r="Q150" s="112"/>
    </row>
    <row r="151" spans="4:17" ht="32.1" customHeight="1">
      <c r="D151" s="155"/>
      <c r="E151" s="154"/>
      <c r="P151" s="111" t="str">
        <f t="shared" si="64"/>
        <v/>
      </c>
      <c r="Q151" s="112"/>
    </row>
    <row r="152" spans="4:17" ht="32.1" customHeight="1">
      <c r="D152" s="155"/>
      <c r="E152" s="154"/>
      <c r="P152" s="111" t="str">
        <f t="shared" si="64"/>
        <v/>
      </c>
      <c r="Q152" s="112"/>
    </row>
    <row r="153" spans="4:17" ht="32.1" customHeight="1">
      <c r="D153" s="155"/>
      <c r="E153" s="154"/>
      <c r="P153" s="111" t="str">
        <f t="shared" si="64"/>
        <v/>
      </c>
      <c r="Q153" s="112"/>
    </row>
    <row r="154" spans="4:17" ht="32.1" customHeight="1">
      <c r="D154" s="155"/>
      <c r="E154" s="154"/>
      <c r="P154" s="111" t="str">
        <f t="shared" si="64"/>
        <v/>
      </c>
      <c r="Q154" s="112"/>
    </row>
    <row r="155" spans="4:17" ht="32.1" customHeight="1">
      <c r="D155" s="155"/>
      <c r="E155" s="154"/>
      <c r="P155" s="111" t="str">
        <f t="shared" si="64"/>
        <v/>
      </c>
      <c r="Q155" s="112"/>
    </row>
    <row r="156" spans="4:17" ht="32.1" customHeight="1">
      <c r="D156" s="155"/>
      <c r="E156" s="154"/>
      <c r="P156" s="111" t="str">
        <f t="shared" si="64"/>
        <v/>
      </c>
      <c r="Q156" s="112"/>
    </row>
    <row r="157" spans="4:17" ht="32.1" customHeight="1">
      <c r="D157" s="155"/>
      <c r="E157" s="154"/>
      <c r="P157" s="111" t="str">
        <f t="shared" si="64"/>
        <v/>
      </c>
      <c r="Q157" s="112"/>
    </row>
    <row r="158" spans="4:17" ht="32.1" customHeight="1">
      <c r="D158" s="155"/>
      <c r="E158" s="154"/>
      <c r="P158" s="111" t="str">
        <f t="shared" si="64"/>
        <v/>
      </c>
      <c r="Q158" s="112"/>
    </row>
    <row r="159" spans="4:17" ht="32.1" customHeight="1">
      <c r="D159" s="155"/>
      <c r="E159" s="154"/>
      <c r="P159" s="111" t="str">
        <f t="shared" si="64"/>
        <v/>
      </c>
      <c r="Q159" s="112"/>
    </row>
    <row r="160" spans="4:17" ht="32.1" customHeight="1">
      <c r="D160" s="155"/>
      <c r="E160" s="154"/>
      <c r="P160" s="111" t="str">
        <f t="shared" si="64"/>
        <v/>
      </c>
      <c r="Q160" s="112"/>
    </row>
    <row r="161" spans="4:17" ht="32.1" customHeight="1">
      <c r="D161" s="155"/>
      <c r="E161" s="154"/>
      <c r="P161" s="111" t="str">
        <f t="shared" si="64"/>
        <v/>
      </c>
      <c r="Q161" s="112"/>
    </row>
    <row r="162" spans="4:17" ht="32.1" customHeight="1">
      <c r="D162" s="155"/>
      <c r="E162" s="154"/>
      <c r="P162" s="111" t="str">
        <f t="shared" si="64"/>
        <v/>
      </c>
      <c r="Q162" s="112"/>
    </row>
    <row r="163" spans="4:17" ht="32.1" customHeight="1">
      <c r="D163" s="155"/>
      <c r="E163" s="154"/>
      <c r="P163" s="111" t="str">
        <f t="shared" si="64"/>
        <v/>
      </c>
      <c r="Q163" s="112"/>
    </row>
    <row r="164" spans="4:17" ht="32.1" customHeight="1">
      <c r="D164" s="155"/>
      <c r="E164" s="154"/>
      <c r="P164" s="111" t="str">
        <f t="shared" si="64"/>
        <v/>
      </c>
      <c r="Q164" s="112"/>
    </row>
    <row r="165" spans="4:17" ht="32.1" customHeight="1">
      <c r="D165" s="155"/>
      <c r="E165" s="154"/>
      <c r="P165" s="111" t="str">
        <f t="shared" si="64"/>
        <v/>
      </c>
      <c r="Q165" s="112"/>
    </row>
    <row r="166" spans="4:17" ht="32.1" customHeight="1">
      <c r="D166" s="155"/>
      <c r="E166" s="154"/>
      <c r="P166" s="111" t="str">
        <f t="shared" ref="P166:P229" si="65">CONCATENATE(C166,H166)</f>
        <v/>
      </c>
      <c r="Q166" s="112"/>
    </row>
    <row r="167" spans="4:17" ht="32.1" customHeight="1">
      <c r="D167" s="155"/>
      <c r="E167" s="154"/>
      <c r="P167" s="111" t="str">
        <f t="shared" si="65"/>
        <v/>
      </c>
      <c r="Q167" s="112"/>
    </row>
    <row r="168" spans="4:17" ht="32.1" customHeight="1">
      <c r="D168" s="155"/>
      <c r="E168" s="154"/>
      <c r="P168" s="111" t="str">
        <f t="shared" si="65"/>
        <v/>
      </c>
      <c r="Q168" s="112"/>
    </row>
    <row r="169" spans="4:17" ht="32.1" customHeight="1">
      <c r="D169" s="155"/>
      <c r="E169" s="154"/>
      <c r="P169" s="111" t="str">
        <f t="shared" si="65"/>
        <v/>
      </c>
      <c r="Q169" s="112"/>
    </row>
    <row r="170" spans="4:17" ht="32.1" customHeight="1">
      <c r="D170" s="155"/>
      <c r="E170" s="154"/>
      <c r="P170" s="111" t="str">
        <f t="shared" si="65"/>
        <v/>
      </c>
      <c r="Q170" s="112"/>
    </row>
    <row r="171" spans="4:17" ht="32.1" customHeight="1">
      <c r="D171" s="155"/>
      <c r="E171" s="154"/>
      <c r="P171" s="111" t="str">
        <f t="shared" si="65"/>
        <v/>
      </c>
      <c r="Q171" s="112"/>
    </row>
    <row r="172" spans="4:17" ht="32.1" customHeight="1">
      <c r="D172" s="155"/>
      <c r="E172" s="154"/>
      <c r="P172" s="111" t="str">
        <f t="shared" si="65"/>
        <v/>
      </c>
      <c r="Q172" s="112"/>
    </row>
    <row r="173" spans="4:17" ht="32.1" customHeight="1">
      <c r="D173" s="155"/>
      <c r="E173" s="154"/>
      <c r="P173" s="111" t="str">
        <f t="shared" si="65"/>
        <v/>
      </c>
      <c r="Q173" s="112"/>
    </row>
    <row r="174" spans="4:17" ht="32.1" customHeight="1">
      <c r="D174" s="155"/>
      <c r="E174" s="154"/>
      <c r="P174" s="111" t="str">
        <f t="shared" si="65"/>
        <v/>
      </c>
      <c r="Q174" s="112"/>
    </row>
    <row r="175" spans="4:17" ht="32.1" customHeight="1">
      <c r="D175" s="155"/>
      <c r="E175" s="154"/>
      <c r="P175" s="111" t="str">
        <f t="shared" si="65"/>
        <v/>
      </c>
      <c r="Q175" s="112"/>
    </row>
    <row r="176" spans="4:17" ht="32.1" customHeight="1">
      <c r="D176" s="155"/>
      <c r="E176" s="154"/>
      <c r="P176" s="111" t="str">
        <f t="shared" si="65"/>
        <v/>
      </c>
      <c r="Q176" s="112"/>
    </row>
    <row r="177" spans="4:17" ht="32.1" customHeight="1">
      <c r="D177" s="155"/>
      <c r="E177" s="154"/>
      <c r="P177" s="111" t="str">
        <f t="shared" si="65"/>
        <v/>
      </c>
      <c r="Q177" s="112"/>
    </row>
    <row r="178" spans="4:17" ht="32.1" customHeight="1">
      <c r="D178" s="155"/>
      <c r="E178" s="154"/>
      <c r="P178" s="111" t="str">
        <f t="shared" si="65"/>
        <v/>
      </c>
      <c r="Q178" s="112"/>
    </row>
    <row r="179" spans="4:17" ht="32.1" customHeight="1">
      <c r="D179" s="155"/>
      <c r="E179" s="154"/>
      <c r="P179" s="111" t="str">
        <f t="shared" si="65"/>
        <v/>
      </c>
      <c r="Q179" s="112"/>
    </row>
    <row r="180" spans="4:17" ht="32.1" customHeight="1">
      <c r="D180" s="155"/>
      <c r="E180" s="154"/>
      <c r="P180" s="111" t="str">
        <f t="shared" si="65"/>
        <v/>
      </c>
      <c r="Q180" s="112"/>
    </row>
    <row r="181" spans="4:17" ht="32.1" customHeight="1">
      <c r="D181" s="155"/>
      <c r="E181" s="154"/>
      <c r="P181" s="111" t="str">
        <f t="shared" si="65"/>
        <v/>
      </c>
      <c r="Q181" s="112"/>
    </row>
    <row r="182" spans="4:17" ht="32.1" customHeight="1">
      <c r="D182" s="155"/>
      <c r="E182" s="154"/>
      <c r="P182" s="111" t="str">
        <f t="shared" si="65"/>
        <v/>
      </c>
      <c r="Q182" s="112"/>
    </row>
    <row r="183" spans="4:17" ht="32.1" customHeight="1">
      <c r="D183" s="155"/>
      <c r="E183" s="154"/>
      <c r="P183" s="111" t="str">
        <f t="shared" si="65"/>
        <v/>
      </c>
      <c r="Q183" s="112"/>
    </row>
    <row r="184" spans="4:17" ht="32.1" customHeight="1">
      <c r="D184" s="155"/>
      <c r="E184" s="154"/>
      <c r="P184" s="111" t="str">
        <f t="shared" si="65"/>
        <v/>
      </c>
      <c r="Q184" s="112"/>
    </row>
    <row r="185" spans="4:17" ht="32.1" customHeight="1">
      <c r="D185" s="155"/>
      <c r="E185" s="154"/>
      <c r="P185" s="111" t="str">
        <f t="shared" si="65"/>
        <v/>
      </c>
      <c r="Q185" s="112"/>
    </row>
    <row r="186" spans="4:17" ht="32.1" customHeight="1">
      <c r="D186" s="155"/>
      <c r="E186" s="154"/>
      <c r="P186" s="111" t="str">
        <f t="shared" si="65"/>
        <v/>
      </c>
      <c r="Q186" s="112"/>
    </row>
    <row r="187" spans="4:17" ht="32.1" customHeight="1">
      <c r="D187" s="155"/>
      <c r="E187" s="154"/>
      <c r="P187" s="111" t="str">
        <f t="shared" si="65"/>
        <v/>
      </c>
      <c r="Q187" s="112"/>
    </row>
    <row r="188" spans="4:17" ht="32.1" customHeight="1">
      <c r="D188" s="155"/>
      <c r="E188" s="154"/>
      <c r="P188" s="111" t="str">
        <f t="shared" si="65"/>
        <v/>
      </c>
      <c r="Q188" s="112"/>
    </row>
    <row r="189" spans="4:17" ht="32.1" customHeight="1">
      <c r="D189" s="155"/>
      <c r="E189" s="154"/>
      <c r="P189" s="111" t="str">
        <f t="shared" si="65"/>
        <v/>
      </c>
      <c r="Q189" s="112"/>
    </row>
    <row r="190" spans="4:17" ht="32.1" customHeight="1">
      <c r="D190" s="155"/>
      <c r="E190" s="154"/>
      <c r="P190" s="111" t="str">
        <f t="shared" si="65"/>
        <v/>
      </c>
      <c r="Q190" s="112"/>
    </row>
    <row r="191" spans="4:17" ht="32.1" customHeight="1">
      <c r="D191" s="155"/>
      <c r="E191" s="154"/>
      <c r="P191" s="111" t="str">
        <f t="shared" si="65"/>
        <v/>
      </c>
      <c r="Q191" s="112"/>
    </row>
    <row r="192" spans="4:17" ht="32.1" customHeight="1">
      <c r="D192" s="155"/>
      <c r="E192" s="154"/>
      <c r="P192" s="111" t="str">
        <f t="shared" si="65"/>
        <v/>
      </c>
      <c r="Q192" s="112"/>
    </row>
    <row r="193" spans="4:17" ht="32.1" customHeight="1">
      <c r="D193" s="155"/>
      <c r="E193" s="154"/>
      <c r="P193" s="111" t="str">
        <f t="shared" si="65"/>
        <v/>
      </c>
      <c r="Q193" s="112"/>
    </row>
    <row r="194" spans="4:17" ht="32.1" customHeight="1">
      <c r="D194" s="155"/>
      <c r="E194" s="154"/>
      <c r="P194" s="111" t="str">
        <f t="shared" si="65"/>
        <v/>
      </c>
      <c r="Q194" s="112"/>
    </row>
    <row r="195" spans="4:17" ht="32.1" customHeight="1">
      <c r="D195" s="155"/>
      <c r="E195" s="154"/>
      <c r="P195" s="111" t="str">
        <f t="shared" si="65"/>
        <v/>
      </c>
      <c r="Q195" s="112"/>
    </row>
    <row r="196" spans="4:17" ht="32.1" customHeight="1">
      <c r="D196" s="155"/>
      <c r="E196" s="154"/>
      <c r="P196" s="111" t="str">
        <f t="shared" si="65"/>
        <v/>
      </c>
      <c r="Q196" s="112"/>
    </row>
    <row r="197" spans="4:17" ht="32.1" customHeight="1">
      <c r="D197" s="155"/>
      <c r="E197" s="154"/>
      <c r="P197" s="111" t="str">
        <f t="shared" si="65"/>
        <v/>
      </c>
      <c r="Q197" s="112"/>
    </row>
    <row r="198" spans="4:17" ht="32.1" customHeight="1">
      <c r="D198" s="155"/>
      <c r="E198" s="154"/>
      <c r="P198" s="111" t="str">
        <f t="shared" si="65"/>
        <v/>
      </c>
      <c r="Q198" s="112"/>
    </row>
    <row r="199" spans="4:17" ht="32.1" customHeight="1">
      <c r="D199" s="155"/>
      <c r="E199" s="154"/>
      <c r="P199" s="111" t="str">
        <f t="shared" si="65"/>
        <v/>
      </c>
      <c r="Q199" s="112"/>
    </row>
    <row r="200" spans="4:17" ht="32.1" customHeight="1">
      <c r="D200" s="155"/>
      <c r="E200" s="154"/>
      <c r="P200" s="111" t="str">
        <f t="shared" si="65"/>
        <v/>
      </c>
      <c r="Q200" s="112"/>
    </row>
    <row r="201" spans="4:17" ht="32.1" customHeight="1">
      <c r="D201" s="155"/>
      <c r="E201" s="154"/>
      <c r="P201" s="111" t="str">
        <f t="shared" si="65"/>
        <v/>
      </c>
      <c r="Q201" s="112"/>
    </row>
    <row r="202" spans="4:17" ht="32.1" customHeight="1">
      <c r="D202" s="155"/>
      <c r="E202" s="154"/>
      <c r="P202" s="111" t="str">
        <f t="shared" si="65"/>
        <v/>
      </c>
      <c r="Q202" s="112"/>
    </row>
    <row r="203" spans="4:17" ht="32.1" customHeight="1">
      <c r="D203" s="155"/>
      <c r="E203" s="154"/>
      <c r="P203" s="111" t="str">
        <f t="shared" si="65"/>
        <v/>
      </c>
      <c r="Q203" s="112"/>
    </row>
    <row r="204" spans="4:17" ht="32.1" customHeight="1">
      <c r="D204" s="155"/>
      <c r="E204" s="154"/>
      <c r="P204" s="111" t="str">
        <f t="shared" si="65"/>
        <v/>
      </c>
      <c r="Q204" s="112"/>
    </row>
    <row r="205" spans="4:17" ht="32.1" customHeight="1">
      <c r="D205" s="155"/>
      <c r="E205" s="154"/>
      <c r="P205" s="111" t="str">
        <f t="shared" si="65"/>
        <v/>
      </c>
      <c r="Q205" s="112"/>
    </row>
    <row r="206" spans="4:17" ht="32.1" customHeight="1">
      <c r="D206" s="155"/>
      <c r="E206" s="154"/>
      <c r="P206" s="111" t="str">
        <f t="shared" si="65"/>
        <v/>
      </c>
      <c r="Q206" s="112"/>
    </row>
    <row r="207" spans="4:17" ht="32.1" customHeight="1">
      <c r="D207" s="155"/>
      <c r="E207" s="154"/>
      <c r="P207" s="111" t="str">
        <f t="shared" si="65"/>
        <v/>
      </c>
      <c r="Q207" s="112"/>
    </row>
    <row r="208" spans="4:17" ht="32.1" customHeight="1">
      <c r="D208" s="155"/>
      <c r="E208" s="154"/>
      <c r="P208" s="111" t="str">
        <f t="shared" si="65"/>
        <v/>
      </c>
      <c r="Q208" s="112"/>
    </row>
    <row r="209" spans="4:17" ht="32.1" customHeight="1">
      <c r="D209" s="155"/>
      <c r="E209" s="154"/>
      <c r="P209" s="111" t="str">
        <f t="shared" si="65"/>
        <v/>
      </c>
      <c r="Q209" s="112"/>
    </row>
    <row r="210" spans="4:17" ht="32.1" customHeight="1">
      <c r="D210" s="155"/>
      <c r="E210" s="154"/>
      <c r="P210" s="111" t="str">
        <f t="shared" si="65"/>
        <v/>
      </c>
      <c r="Q210" s="112"/>
    </row>
    <row r="211" spans="4:17" ht="32.1" customHeight="1">
      <c r="D211" s="155"/>
      <c r="E211" s="154"/>
      <c r="P211" s="111" t="str">
        <f t="shared" si="65"/>
        <v/>
      </c>
      <c r="Q211" s="112"/>
    </row>
    <row r="212" spans="4:17" ht="32.1" customHeight="1">
      <c r="D212" s="155"/>
      <c r="E212" s="154"/>
      <c r="P212" s="111" t="str">
        <f t="shared" si="65"/>
        <v/>
      </c>
      <c r="Q212" s="112"/>
    </row>
    <row r="213" spans="4:17" ht="32.1" customHeight="1">
      <c r="D213" s="155"/>
      <c r="E213" s="154"/>
      <c r="P213" s="111" t="str">
        <f t="shared" si="65"/>
        <v/>
      </c>
      <c r="Q213" s="112"/>
    </row>
    <row r="214" spans="4:17" ht="32.1" customHeight="1">
      <c r="D214" s="155"/>
      <c r="E214" s="154"/>
      <c r="P214" s="111" t="str">
        <f t="shared" si="65"/>
        <v/>
      </c>
      <c r="Q214" s="112"/>
    </row>
    <row r="215" spans="4:17" ht="32.1" customHeight="1">
      <c r="D215" s="155"/>
      <c r="E215" s="154"/>
      <c r="P215" s="111" t="str">
        <f t="shared" si="65"/>
        <v/>
      </c>
      <c r="Q215" s="112"/>
    </row>
    <row r="216" spans="4:17" ht="32.1" customHeight="1">
      <c r="D216" s="155"/>
      <c r="E216" s="154"/>
      <c r="P216" s="111" t="str">
        <f t="shared" si="65"/>
        <v/>
      </c>
      <c r="Q216" s="112"/>
    </row>
    <row r="217" spans="4:17" ht="32.1" customHeight="1">
      <c r="D217" s="155"/>
      <c r="E217" s="154"/>
      <c r="P217" s="111" t="str">
        <f t="shared" si="65"/>
        <v/>
      </c>
      <c r="Q217" s="112"/>
    </row>
    <row r="218" spans="4:17" ht="32.1" customHeight="1">
      <c r="D218" s="155"/>
      <c r="E218" s="154"/>
      <c r="P218" s="111" t="str">
        <f t="shared" si="65"/>
        <v/>
      </c>
      <c r="Q218" s="112"/>
    </row>
    <row r="219" spans="4:17" ht="32.1" customHeight="1">
      <c r="D219" s="155"/>
      <c r="E219" s="154"/>
      <c r="P219" s="111" t="str">
        <f t="shared" si="65"/>
        <v/>
      </c>
      <c r="Q219" s="112"/>
    </row>
    <row r="220" spans="4:17" ht="32.1" customHeight="1">
      <c r="D220" s="155"/>
      <c r="E220" s="154"/>
      <c r="P220" s="111" t="str">
        <f t="shared" si="65"/>
        <v/>
      </c>
      <c r="Q220" s="112"/>
    </row>
    <row r="221" spans="4:17" ht="32.1" customHeight="1">
      <c r="D221" s="155"/>
      <c r="E221" s="154"/>
      <c r="P221" s="111" t="str">
        <f t="shared" si="65"/>
        <v/>
      </c>
      <c r="Q221" s="112"/>
    </row>
    <row r="222" spans="4:17" ht="32.1" customHeight="1">
      <c r="D222" s="155"/>
      <c r="E222" s="154"/>
      <c r="P222" s="111" t="str">
        <f t="shared" si="65"/>
        <v/>
      </c>
      <c r="Q222" s="112"/>
    </row>
    <row r="223" spans="4:17" ht="32.1" customHeight="1">
      <c r="D223" s="155"/>
      <c r="E223" s="154"/>
      <c r="P223" s="111" t="str">
        <f t="shared" si="65"/>
        <v/>
      </c>
      <c r="Q223" s="112"/>
    </row>
    <row r="224" spans="4:17" ht="32.1" customHeight="1">
      <c r="D224" s="155"/>
      <c r="E224" s="154"/>
      <c r="P224" s="111" t="str">
        <f t="shared" si="65"/>
        <v/>
      </c>
      <c r="Q224" s="112"/>
    </row>
    <row r="225" spans="4:17" ht="32.1" customHeight="1">
      <c r="D225" s="155"/>
      <c r="E225" s="154"/>
      <c r="P225" s="111" t="str">
        <f t="shared" si="65"/>
        <v/>
      </c>
      <c r="Q225" s="112"/>
    </row>
    <row r="226" spans="4:17" ht="32.1" customHeight="1">
      <c r="D226" s="155"/>
      <c r="E226" s="154"/>
      <c r="P226" s="111" t="str">
        <f t="shared" si="65"/>
        <v/>
      </c>
      <c r="Q226" s="112"/>
    </row>
    <row r="227" spans="4:17" ht="32.1" customHeight="1">
      <c r="D227" s="155"/>
      <c r="E227" s="154"/>
      <c r="P227" s="111" t="str">
        <f t="shared" si="65"/>
        <v/>
      </c>
      <c r="Q227" s="112"/>
    </row>
    <row r="228" spans="4:17" ht="32.1" customHeight="1">
      <c r="D228" s="155"/>
      <c r="E228" s="154"/>
      <c r="P228" s="111" t="str">
        <f t="shared" si="65"/>
        <v/>
      </c>
      <c r="Q228" s="112"/>
    </row>
    <row r="229" spans="4:17" ht="32.1" customHeight="1">
      <c r="D229" s="155"/>
      <c r="E229" s="154"/>
      <c r="P229" s="111" t="str">
        <f t="shared" si="65"/>
        <v/>
      </c>
      <c r="Q229" s="112"/>
    </row>
    <row r="230" spans="4:17" ht="32.1" customHeight="1">
      <c r="D230" s="155"/>
      <c r="E230" s="154"/>
      <c r="P230" s="111" t="str">
        <f t="shared" ref="P230:P277" si="66">CONCATENATE(C230,H230)</f>
        <v/>
      </c>
      <c r="Q230" s="112"/>
    </row>
    <row r="231" spans="4:17" ht="32.1" customHeight="1">
      <c r="D231" s="155"/>
      <c r="E231" s="154"/>
      <c r="P231" s="111" t="str">
        <f t="shared" si="66"/>
        <v/>
      </c>
      <c r="Q231" s="112"/>
    </row>
    <row r="232" spans="4:17" ht="32.1" customHeight="1">
      <c r="D232" s="155"/>
      <c r="E232" s="154"/>
      <c r="P232" s="111" t="str">
        <f t="shared" si="66"/>
        <v/>
      </c>
      <c r="Q232" s="112"/>
    </row>
    <row r="233" spans="4:17" ht="32.1" customHeight="1">
      <c r="D233" s="155"/>
      <c r="E233" s="154"/>
      <c r="P233" s="111" t="str">
        <f t="shared" si="66"/>
        <v/>
      </c>
      <c r="Q233" s="112"/>
    </row>
    <row r="234" spans="4:17" ht="32.1" customHeight="1">
      <c r="D234" s="155"/>
      <c r="E234" s="154"/>
      <c r="P234" s="111" t="str">
        <f t="shared" si="66"/>
        <v/>
      </c>
      <c r="Q234" s="112"/>
    </row>
    <row r="235" spans="4:17" ht="32.1" customHeight="1">
      <c r="D235" s="155"/>
      <c r="E235" s="154"/>
      <c r="P235" s="111" t="str">
        <f t="shared" si="66"/>
        <v/>
      </c>
      <c r="Q235" s="112"/>
    </row>
    <row r="236" spans="4:17" ht="32.1" customHeight="1">
      <c r="D236" s="155"/>
      <c r="E236" s="154"/>
      <c r="P236" s="111" t="str">
        <f t="shared" si="66"/>
        <v/>
      </c>
      <c r="Q236" s="112"/>
    </row>
    <row r="237" spans="4:17" ht="32.1" customHeight="1">
      <c r="D237" s="155"/>
      <c r="E237" s="154"/>
      <c r="P237" s="111" t="str">
        <f t="shared" si="66"/>
        <v/>
      </c>
      <c r="Q237" s="112"/>
    </row>
    <row r="238" spans="4:17" ht="32.1" customHeight="1">
      <c r="D238" s="155"/>
      <c r="E238" s="154"/>
      <c r="P238" s="111" t="str">
        <f t="shared" si="66"/>
        <v/>
      </c>
      <c r="Q238" s="112"/>
    </row>
    <row r="239" spans="4:17" ht="32.1" customHeight="1">
      <c r="D239" s="155"/>
      <c r="E239" s="154"/>
      <c r="P239" s="111" t="str">
        <f t="shared" si="66"/>
        <v/>
      </c>
      <c r="Q239" s="112"/>
    </row>
    <row r="240" spans="4:17" ht="32.1" customHeight="1">
      <c r="D240" s="155"/>
      <c r="E240" s="154"/>
      <c r="P240" s="111" t="str">
        <f t="shared" si="66"/>
        <v/>
      </c>
      <c r="Q240" s="112"/>
    </row>
    <row r="241" spans="4:17" ht="32.1" customHeight="1">
      <c r="D241" s="155"/>
      <c r="E241" s="154"/>
      <c r="P241" s="111" t="str">
        <f t="shared" si="66"/>
        <v/>
      </c>
      <c r="Q241" s="112"/>
    </row>
    <row r="242" spans="4:17" ht="32.1" customHeight="1">
      <c r="D242" s="155"/>
      <c r="E242" s="154"/>
      <c r="P242" s="111" t="str">
        <f t="shared" si="66"/>
        <v/>
      </c>
      <c r="Q242" s="112"/>
    </row>
    <row r="243" spans="4:17" ht="32.1" customHeight="1">
      <c r="D243" s="155"/>
      <c r="E243" s="154"/>
      <c r="P243" s="111" t="str">
        <f t="shared" si="66"/>
        <v/>
      </c>
      <c r="Q243" s="112"/>
    </row>
    <row r="244" spans="4:17" ht="32.1" customHeight="1">
      <c r="D244" s="155"/>
      <c r="E244" s="154"/>
      <c r="P244" s="111" t="str">
        <f t="shared" si="66"/>
        <v/>
      </c>
      <c r="Q244" s="112"/>
    </row>
    <row r="245" spans="4:17" ht="32.1" customHeight="1">
      <c r="D245" s="155"/>
      <c r="E245" s="154"/>
      <c r="P245" s="111" t="str">
        <f t="shared" si="66"/>
        <v/>
      </c>
      <c r="Q245" s="112"/>
    </row>
    <row r="246" spans="4:17" ht="32.1" customHeight="1">
      <c r="D246" s="155"/>
      <c r="E246" s="154"/>
      <c r="P246" s="111" t="str">
        <f t="shared" si="66"/>
        <v/>
      </c>
      <c r="Q246" s="112"/>
    </row>
    <row r="247" spans="4:17" ht="32.1" customHeight="1">
      <c r="D247" s="155"/>
      <c r="E247" s="154"/>
      <c r="P247" s="111" t="str">
        <f t="shared" si="66"/>
        <v/>
      </c>
      <c r="Q247" s="112"/>
    </row>
    <row r="248" spans="4:17" ht="32.1" customHeight="1">
      <c r="D248" s="155"/>
      <c r="E248" s="154"/>
      <c r="P248" s="111" t="str">
        <f t="shared" si="66"/>
        <v/>
      </c>
      <c r="Q248" s="112"/>
    </row>
    <row r="249" spans="4:17" ht="32.1" customHeight="1">
      <c r="D249" s="155"/>
      <c r="E249" s="154"/>
      <c r="P249" s="111" t="str">
        <f t="shared" si="66"/>
        <v/>
      </c>
      <c r="Q249" s="112"/>
    </row>
    <row r="250" spans="4:17" ht="32.1" customHeight="1">
      <c r="D250" s="155"/>
      <c r="E250" s="154"/>
      <c r="P250" s="111" t="str">
        <f t="shared" si="66"/>
        <v/>
      </c>
      <c r="Q250" s="112"/>
    </row>
    <row r="251" spans="4:17" ht="32.1" customHeight="1">
      <c r="D251" s="155"/>
      <c r="E251" s="154"/>
      <c r="P251" s="111" t="str">
        <f t="shared" si="66"/>
        <v/>
      </c>
      <c r="Q251" s="112"/>
    </row>
    <row r="252" spans="4:17" ht="32.1" customHeight="1">
      <c r="D252" s="155"/>
      <c r="E252" s="154"/>
      <c r="P252" s="111" t="str">
        <f t="shared" si="66"/>
        <v/>
      </c>
      <c r="Q252" s="112"/>
    </row>
    <row r="253" spans="4:17" ht="32.1" customHeight="1">
      <c r="D253" s="155"/>
      <c r="E253" s="154"/>
      <c r="P253" s="111" t="str">
        <f t="shared" si="66"/>
        <v/>
      </c>
      <c r="Q253" s="112"/>
    </row>
    <row r="254" spans="4:17" ht="32.1" customHeight="1">
      <c r="D254" s="155"/>
      <c r="E254" s="154"/>
      <c r="P254" s="111" t="str">
        <f t="shared" si="66"/>
        <v/>
      </c>
      <c r="Q254" s="112"/>
    </row>
    <row r="255" spans="4:17" ht="32.1" customHeight="1">
      <c r="D255" s="155"/>
      <c r="E255" s="154"/>
      <c r="P255" s="111" t="str">
        <f t="shared" si="66"/>
        <v/>
      </c>
      <c r="Q255" s="112"/>
    </row>
    <row r="256" spans="4:17" ht="32.1" customHeight="1">
      <c r="D256" s="155"/>
      <c r="E256" s="154"/>
      <c r="P256" s="111" t="str">
        <f t="shared" si="66"/>
        <v/>
      </c>
      <c r="Q256" s="112"/>
    </row>
    <row r="257" spans="4:17" ht="32.1" customHeight="1">
      <c r="D257" s="155"/>
      <c r="E257" s="154"/>
      <c r="P257" s="111" t="str">
        <f t="shared" si="66"/>
        <v/>
      </c>
      <c r="Q257" s="112"/>
    </row>
    <row r="258" spans="4:17" ht="32.1" customHeight="1">
      <c r="D258" s="155"/>
      <c r="E258" s="154"/>
      <c r="P258" s="111" t="str">
        <f t="shared" si="66"/>
        <v/>
      </c>
      <c r="Q258" s="112"/>
    </row>
    <row r="259" spans="4:17" ht="32.1" customHeight="1">
      <c r="D259" s="155"/>
      <c r="E259" s="154"/>
      <c r="P259" s="111" t="str">
        <f t="shared" si="66"/>
        <v/>
      </c>
      <c r="Q259" s="112"/>
    </row>
    <row r="260" spans="4:17" ht="32.1" customHeight="1">
      <c r="D260" s="155"/>
      <c r="E260" s="154"/>
      <c r="P260" s="111" t="str">
        <f t="shared" si="66"/>
        <v/>
      </c>
      <c r="Q260" s="112"/>
    </row>
    <row r="261" spans="4:17" ht="32.1" customHeight="1">
      <c r="D261" s="155"/>
      <c r="E261" s="154"/>
      <c r="P261" s="111" t="str">
        <f t="shared" si="66"/>
        <v/>
      </c>
      <c r="Q261" s="112"/>
    </row>
    <row r="262" spans="4:17" ht="32.1" customHeight="1">
      <c r="D262" s="155"/>
      <c r="E262" s="154"/>
      <c r="P262" s="111" t="str">
        <f t="shared" si="66"/>
        <v/>
      </c>
      <c r="Q262" s="112"/>
    </row>
    <row r="263" spans="4:17" ht="32.1" customHeight="1">
      <c r="D263" s="155"/>
      <c r="E263" s="154"/>
      <c r="P263" s="111" t="str">
        <f t="shared" si="66"/>
        <v/>
      </c>
      <c r="Q263" s="112"/>
    </row>
    <row r="264" spans="4:17" ht="32.1" customHeight="1">
      <c r="D264" s="155"/>
      <c r="E264" s="154"/>
      <c r="P264" s="111" t="str">
        <f t="shared" si="66"/>
        <v/>
      </c>
      <c r="Q264" s="112"/>
    </row>
    <row r="265" spans="4:17" ht="32.1" customHeight="1">
      <c r="D265" s="155"/>
      <c r="E265" s="154"/>
      <c r="P265" s="111" t="str">
        <f t="shared" si="66"/>
        <v/>
      </c>
      <c r="Q265" s="112"/>
    </row>
    <row r="266" spans="4:17" ht="32.1" customHeight="1">
      <c r="D266" s="155"/>
      <c r="E266" s="154"/>
      <c r="P266" s="111" t="str">
        <f t="shared" si="66"/>
        <v/>
      </c>
      <c r="Q266" s="112"/>
    </row>
    <row r="267" spans="4:17" ht="32.1" customHeight="1">
      <c r="D267" s="155"/>
      <c r="E267" s="154"/>
      <c r="P267" s="111" t="str">
        <f t="shared" si="66"/>
        <v/>
      </c>
      <c r="Q267" s="112"/>
    </row>
    <row r="268" spans="4:17" ht="32.1" customHeight="1">
      <c r="D268" s="155"/>
      <c r="E268" s="154"/>
      <c r="P268" s="111" t="str">
        <f t="shared" si="66"/>
        <v/>
      </c>
      <c r="Q268" s="112"/>
    </row>
    <row r="269" spans="4:17" ht="32.1" customHeight="1">
      <c r="D269" s="155"/>
      <c r="E269" s="154"/>
      <c r="P269" s="111" t="str">
        <f t="shared" si="66"/>
        <v/>
      </c>
      <c r="Q269" s="112"/>
    </row>
    <row r="270" spans="4:17" ht="32.1" customHeight="1">
      <c r="D270" s="155"/>
      <c r="E270" s="154"/>
      <c r="P270" s="111" t="str">
        <f t="shared" si="66"/>
        <v/>
      </c>
      <c r="Q270" s="112"/>
    </row>
    <row r="271" spans="4:17" ht="32.1" customHeight="1">
      <c r="D271" s="155"/>
      <c r="E271" s="154"/>
      <c r="P271" s="111" t="str">
        <f t="shared" si="66"/>
        <v/>
      </c>
      <c r="Q271" s="112"/>
    </row>
    <row r="272" spans="4:17" ht="32.1" customHeight="1">
      <c r="D272" s="155"/>
      <c r="E272" s="154"/>
      <c r="P272" s="111" t="str">
        <f t="shared" si="66"/>
        <v/>
      </c>
      <c r="Q272" s="112"/>
    </row>
    <row r="273" spans="4:17" ht="32.1" customHeight="1">
      <c r="D273" s="155"/>
      <c r="E273" s="154"/>
      <c r="P273" s="111" t="str">
        <f t="shared" si="66"/>
        <v/>
      </c>
      <c r="Q273" s="112"/>
    </row>
    <row r="274" spans="4:17" ht="32.1" customHeight="1">
      <c r="D274" s="155"/>
      <c r="E274" s="154"/>
      <c r="P274" s="111" t="str">
        <f t="shared" si="66"/>
        <v/>
      </c>
      <c r="Q274" s="112"/>
    </row>
    <row r="275" spans="4:17" ht="32.1" customHeight="1">
      <c r="D275" s="155"/>
      <c r="E275" s="154"/>
      <c r="P275" s="111" t="str">
        <f t="shared" si="66"/>
        <v/>
      </c>
      <c r="Q275" s="112"/>
    </row>
    <row r="276" spans="4:17" ht="32.1" customHeight="1">
      <c r="D276" s="155"/>
      <c r="E276" s="154"/>
      <c r="P276" s="111" t="str">
        <f t="shared" si="66"/>
        <v/>
      </c>
      <c r="Q276" s="112"/>
    </row>
    <row r="277" spans="4:17" ht="32.1" customHeight="1">
      <c r="D277" s="155"/>
      <c r="E277" s="154"/>
      <c r="P277" s="111" t="str">
        <f t="shared" si="66"/>
        <v/>
      </c>
      <c r="Q277" s="112"/>
    </row>
    <row r="278" spans="4:17" ht="32.1" hidden="1" customHeight="1">
      <c r="D278" s="155"/>
      <c r="E278" s="154"/>
      <c r="Q278" s="123"/>
    </row>
    <row r="279" spans="4:17" ht="32.1" hidden="1" customHeight="1">
      <c r="D279" s="155"/>
      <c r="E279" s="154"/>
      <c r="Q279" s="123"/>
    </row>
    <row r="280" spans="4:17" ht="32.1" hidden="1" customHeight="1">
      <c r="D280" s="155"/>
      <c r="E280" s="154"/>
    </row>
    <row r="281" spans="4:17" ht="32.1" hidden="1" customHeight="1">
      <c r="D281" s="155"/>
      <c r="E281" s="154"/>
    </row>
    <row r="282" spans="4:17" ht="32.1" hidden="1" customHeight="1">
      <c r="D282" s="155"/>
      <c r="E282" s="154"/>
    </row>
    <row r="283" spans="4:17" ht="32.1" hidden="1" customHeight="1">
      <c r="D283" s="155"/>
      <c r="E283" s="154"/>
    </row>
    <row r="284" spans="4:17" ht="32.1" hidden="1" customHeight="1">
      <c r="D284" s="155"/>
      <c r="E284" s="154"/>
    </row>
    <row r="285" spans="4:17" ht="32.1" hidden="1" customHeight="1">
      <c r="D285" s="155"/>
      <c r="E285" s="154"/>
    </row>
    <row r="286" spans="4:17" ht="32.1" hidden="1" customHeight="1">
      <c r="D286" s="155"/>
      <c r="E286" s="154"/>
    </row>
    <row r="287" spans="4:17" ht="32.1" hidden="1" customHeight="1">
      <c r="D287" s="155"/>
      <c r="E287" s="154"/>
    </row>
    <row r="288" spans="4:17" ht="32.1" hidden="1" customHeight="1">
      <c r="D288" s="155"/>
      <c r="E288" s="154"/>
    </row>
    <row r="289" spans="4:5" ht="32.1" hidden="1" customHeight="1">
      <c r="D289" s="155"/>
      <c r="E289" s="154"/>
    </row>
    <row r="290" spans="4:5" ht="32.1" hidden="1" customHeight="1">
      <c r="D290" s="155"/>
      <c r="E290" s="154"/>
    </row>
    <row r="291" spans="4:5" ht="32.1" hidden="1" customHeight="1">
      <c r="D291" s="155"/>
      <c r="E291" s="154"/>
    </row>
    <row r="292" spans="4:5" ht="32.1" hidden="1" customHeight="1">
      <c r="D292" s="155"/>
      <c r="E292" s="154"/>
    </row>
    <row r="293" spans="4:5" ht="32.1" hidden="1" customHeight="1">
      <c r="D293" s="155"/>
      <c r="E293" s="154"/>
    </row>
    <row r="294" spans="4:5" ht="32.1" hidden="1" customHeight="1">
      <c r="D294" s="155"/>
      <c r="E294" s="154"/>
    </row>
    <row r="295" spans="4:5" ht="32.1" hidden="1" customHeight="1">
      <c r="D295" s="155"/>
      <c r="E295" s="154"/>
    </row>
    <row r="296" spans="4:5" ht="32.1" hidden="1" customHeight="1">
      <c r="D296" s="155"/>
      <c r="E296" s="154"/>
    </row>
    <row r="297" spans="4:5" ht="32.1" hidden="1" customHeight="1">
      <c r="D297" s="155"/>
      <c r="E297" s="154"/>
    </row>
    <row r="298" spans="4:5" ht="32.1" hidden="1" customHeight="1">
      <c r="D298" s="155"/>
      <c r="E298" s="154"/>
    </row>
    <row r="299" spans="4:5" ht="32.1" hidden="1" customHeight="1">
      <c r="D299" s="155"/>
      <c r="E299" s="154"/>
    </row>
    <row r="300" spans="4:5" ht="32.1" hidden="1" customHeight="1">
      <c r="D300" s="155"/>
      <c r="E300" s="154"/>
    </row>
    <row r="301" spans="4:5" ht="32.1" hidden="1" customHeight="1">
      <c r="D301" s="155"/>
      <c r="E301" s="154"/>
    </row>
    <row r="302" spans="4:5" ht="32.1" hidden="1" customHeight="1">
      <c r="D302" s="155"/>
      <c r="E302" s="154"/>
    </row>
    <row r="303" spans="4:5" ht="32.1" hidden="1" customHeight="1">
      <c r="D303" s="155"/>
      <c r="E303" s="154"/>
    </row>
    <row r="304" spans="4:5" ht="32.1" hidden="1" customHeight="1">
      <c r="D304" s="155"/>
      <c r="E304" s="154"/>
    </row>
    <row r="305" spans="4:5" ht="32.1" hidden="1" customHeight="1">
      <c r="D305" s="155"/>
      <c r="E305" s="154"/>
    </row>
    <row r="306" spans="4:5" ht="32.1" hidden="1" customHeight="1">
      <c r="D306" s="155"/>
      <c r="E306" s="154"/>
    </row>
    <row r="307" spans="4:5" ht="32.1" hidden="1" customHeight="1">
      <c r="D307" s="155"/>
      <c r="E307" s="154"/>
    </row>
    <row r="308" spans="4:5" ht="32.1" hidden="1" customHeight="1">
      <c r="D308" s="155"/>
      <c r="E308" s="154"/>
    </row>
    <row r="309" spans="4:5" ht="32.1" hidden="1" customHeight="1">
      <c r="D309" s="155"/>
      <c r="E309" s="154"/>
    </row>
    <row r="310" spans="4:5" ht="32.1" hidden="1" customHeight="1">
      <c r="D310" s="155"/>
      <c r="E310" s="154"/>
    </row>
    <row r="311" spans="4:5" ht="32.1" hidden="1" customHeight="1">
      <c r="D311" s="155"/>
      <c r="E311" s="154"/>
    </row>
    <row r="312" spans="4:5" ht="32.1" hidden="1" customHeight="1">
      <c r="D312" s="155"/>
      <c r="E312" s="154"/>
    </row>
    <row r="313" spans="4:5" ht="32.1" hidden="1" customHeight="1">
      <c r="D313" s="155"/>
      <c r="E313" s="154"/>
    </row>
    <row r="314" spans="4:5" ht="32.1" hidden="1" customHeight="1">
      <c r="D314" s="155"/>
      <c r="E314" s="154"/>
    </row>
    <row r="315" spans="4:5" ht="32.1" hidden="1" customHeight="1">
      <c r="D315" s="155"/>
      <c r="E315" s="154"/>
    </row>
    <row r="316" spans="4:5" ht="32.1" hidden="1" customHeight="1">
      <c r="D316" s="155"/>
      <c r="E316" s="154"/>
    </row>
    <row r="317" spans="4:5" ht="32.1" hidden="1" customHeight="1">
      <c r="D317" s="155"/>
      <c r="E317" s="154"/>
    </row>
    <row r="318" spans="4:5" ht="32.1" hidden="1" customHeight="1">
      <c r="D318" s="155"/>
      <c r="E318" s="154"/>
    </row>
    <row r="319" spans="4:5" ht="32.1" hidden="1" customHeight="1">
      <c r="D319" s="155"/>
      <c r="E319" s="154"/>
    </row>
    <row r="320" spans="4:5" ht="32.1" hidden="1" customHeight="1">
      <c r="D320" s="155"/>
      <c r="E320" s="154"/>
    </row>
    <row r="321" spans="4:5" ht="32.1" hidden="1" customHeight="1">
      <c r="D321" s="155"/>
      <c r="E321" s="154"/>
    </row>
    <row r="322" spans="4:5" ht="32.1" hidden="1" customHeight="1">
      <c r="D322" s="155"/>
      <c r="E322" s="154"/>
    </row>
    <row r="323" spans="4:5" ht="32.1" hidden="1" customHeight="1">
      <c r="D323" s="155"/>
      <c r="E323" s="154"/>
    </row>
    <row r="324" spans="4:5" ht="32.1" hidden="1" customHeight="1">
      <c r="D324" s="155"/>
      <c r="E324" s="154"/>
    </row>
    <row r="325" spans="4:5" ht="32.1" hidden="1" customHeight="1">
      <c r="D325" s="155"/>
      <c r="E325" s="154"/>
    </row>
    <row r="326" spans="4:5" ht="32.1" hidden="1" customHeight="1">
      <c r="D326" s="155"/>
      <c r="E326" s="154"/>
    </row>
    <row r="327" spans="4:5" ht="32.1" hidden="1" customHeight="1">
      <c r="D327" s="155"/>
      <c r="E327" s="154"/>
    </row>
    <row r="328" spans="4:5" ht="32.1" hidden="1" customHeight="1">
      <c r="D328" s="155"/>
      <c r="E328" s="154"/>
    </row>
    <row r="329" spans="4:5" ht="32.1" hidden="1" customHeight="1">
      <c r="D329" s="155"/>
      <c r="E329" s="154"/>
    </row>
    <row r="330" spans="4:5" ht="32.1" hidden="1" customHeight="1">
      <c r="D330" s="155"/>
      <c r="E330" s="154"/>
    </row>
    <row r="331" spans="4:5" ht="32.1" hidden="1" customHeight="1">
      <c r="D331" s="155"/>
      <c r="E331" s="154"/>
    </row>
    <row r="332" spans="4:5" ht="32.1" hidden="1" customHeight="1">
      <c r="D332" s="155"/>
      <c r="E332" s="154"/>
    </row>
    <row r="333" spans="4:5" ht="32.1" hidden="1" customHeight="1">
      <c r="D333" s="155"/>
      <c r="E333" s="154"/>
    </row>
    <row r="334" spans="4:5" ht="32.1" hidden="1" customHeight="1">
      <c r="D334" s="155"/>
      <c r="E334" s="154"/>
    </row>
    <row r="335" spans="4:5" ht="32.1" hidden="1" customHeight="1">
      <c r="D335" s="155"/>
      <c r="E335" s="154"/>
    </row>
    <row r="336" spans="4:5" ht="32.1" hidden="1" customHeight="1">
      <c r="D336" s="155"/>
      <c r="E336" s="154"/>
    </row>
    <row r="337" spans="4:5" ht="32.1" hidden="1" customHeight="1">
      <c r="D337" s="155"/>
      <c r="E337" s="154"/>
    </row>
    <row r="338" spans="4:5" ht="32.1" hidden="1" customHeight="1">
      <c r="D338" s="155"/>
      <c r="E338" s="154"/>
    </row>
    <row r="339" spans="4:5" ht="32.1" hidden="1" customHeight="1">
      <c r="D339" s="155"/>
      <c r="E339" s="154"/>
    </row>
    <row r="340" spans="4:5" ht="32.1" hidden="1" customHeight="1">
      <c r="D340" s="155"/>
      <c r="E340" s="154"/>
    </row>
    <row r="341" spans="4:5" ht="32.1" hidden="1" customHeight="1">
      <c r="D341" s="155"/>
      <c r="E341" s="154"/>
    </row>
    <row r="342" spans="4:5" ht="32.1" hidden="1" customHeight="1">
      <c r="D342" s="155"/>
      <c r="E342" s="154"/>
    </row>
    <row r="343" spans="4:5" ht="32.1" hidden="1" customHeight="1">
      <c r="D343" s="155"/>
      <c r="E343" s="154"/>
    </row>
    <row r="344" spans="4:5" ht="32.1" hidden="1" customHeight="1">
      <c r="D344" s="155"/>
      <c r="E344" s="154"/>
    </row>
    <row r="345" spans="4:5" ht="32.1" hidden="1" customHeight="1">
      <c r="D345" s="155"/>
      <c r="E345" s="154"/>
    </row>
    <row r="346" spans="4:5" ht="32.1" hidden="1" customHeight="1">
      <c r="D346" s="155"/>
      <c r="E346" s="154"/>
    </row>
    <row r="347" spans="4:5" ht="32.1" hidden="1" customHeight="1">
      <c r="D347" s="155"/>
      <c r="E347" s="154"/>
    </row>
    <row r="348" spans="4:5" ht="32.1" hidden="1" customHeight="1">
      <c r="D348" s="155"/>
      <c r="E348" s="154"/>
    </row>
    <row r="349" spans="4:5" ht="32.1" hidden="1" customHeight="1">
      <c r="D349" s="155"/>
      <c r="E349" s="154"/>
    </row>
    <row r="350" spans="4:5" ht="32.1" hidden="1" customHeight="1">
      <c r="D350" s="155"/>
      <c r="E350" s="154"/>
    </row>
    <row r="351" spans="4:5" ht="32.1" hidden="1" customHeight="1">
      <c r="D351" s="155"/>
      <c r="E351" s="154"/>
    </row>
    <row r="352" spans="4:5" ht="32.1" hidden="1" customHeight="1">
      <c r="D352" s="155"/>
      <c r="E352" s="154"/>
    </row>
    <row r="353" spans="4:5" ht="32.1" hidden="1" customHeight="1">
      <c r="D353" s="155"/>
      <c r="E353" s="154"/>
    </row>
    <row r="354" spans="4:5" ht="32.1" hidden="1" customHeight="1">
      <c r="D354" s="155"/>
      <c r="E354" s="154"/>
    </row>
    <row r="355" spans="4:5" ht="32.1" hidden="1" customHeight="1">
      <c r="D355" s="155"/>
      <c r="E355" s="154"/>
    </row>
    <row r="356" spans="4:5" ht="32.1" hidden="1" customHeight="1">
      <c r="D356" s="155"/>
      <c r="E356" s="154"/>
    </row>
    <row r="357" spans="4:5" ht="32.1" hidden="1" customHeight="1">
      <c r="D357" s="155"/>
      <c r="E357" s="154"/>
    </row>
    <row r="358" spans="4:5" ht="32.1" hidden="1" customHeight="1">
      <c r="D358" s="155"/>
      <c r="E358" s="154"/>
    </row>
    <row r="359" spans="4:5" ht="32.1" hidden="1" customHeight="1">
      <c r="D359" s="155"/>
      <c r="E359" s="154"/>
    </row>
    <row r="360" spans="4:5" ht="32.1" hidden="1" customHeight="1">
      <c r="D360" s="155"/>
      <c r="E360" s="154"/>
    </row>
    <row r="361" spans="4:5" ht="32.1" hidden="1" customHeight="1">
      <c r="D361" s="155"/>
      <c r="E361" s="154"/>
    </row>
    <row r="362" spans="4:5" ht="32.1" hidden="1" customHeight="1">
      <c r="D362" s="155"/>
      <c r="E362" s="154"/>
    </row>
    <row r="363" spans="4:5" ht="32.1" hidden="1" customHeight="1">
      <c r="D363" s="155"/>
      <c r="E363" s="154"/>
    </row>
    <row r="364" spans="4:5" ht="32.1" hidden="1" customHeight="1">
      <c r="D364" s="155"/>
      <c r="E364" s="154"/>
    </row>
    <row r="365" spans="4:5" ht="32.1" hidden="1" customHeight="1">
      <c r="D365" s="155"/>
      <c r="E365" s="154"/>
    </row>
    <row r="366" spans="4:5" ht="32.1" hidden="1" customHeight="1">
      <c r="D366" s="155"/>
      <c r="E366" s="154"/>
    </row>
    <row r="367" spans="4:5" ht="32.1" hidden="1" customHeight="1">
      <c r="D367" s="155"/>
      <c r="E367" s="154"/>
    </row>
    <row r="368" spans="4:5" ht="32.1" hidden="1" customHeight="1">
      <c r="D368" s="155"/>
      <c r="E368" s="154"/>
    </row>
    <row r="369" spans="4:5" ht="32.1" hidden="1" customHeight="1">
      <c r="D369" s="155"/>
      <c r="E369" s="154"/>
    </row>
    <row r="370" spans="4:5" ht="32.1" hidden="1" customHeight="1">
      <c r="D370" s="155"/>
      <c r="E370" s="154"/>
    </row>
    <row r="371" spans="4:5" ht="32.1" hidden="1" customHeight="1">
      <c r="D371" s="155"/>
      <c r="E371" s="154"/>
    </row>
    <row r="372" spans="4:5" ht="32.1" hidden="1" customHeight="1">
      <c r="D372" s="155"/>
      <c r="E372" s="154"/>
    </row>
    <row r="373" spans="4:5" ht="32.1" hidden="1" customHeight="1">
      <c r="D373" s="155"/>
      <c r="E373" s="154"/>
    </row>
    <row r="374" spans="4:5" ht="32.1" hidden="1" customHeight="1">
      <c r="D374" s="155"/>
      <c r="E374" s="154"/>
    </row>
    <row r="375" spans="4:5" ht="32.1" hidden="1" customHeight="1">
      <c r="D375" s="155"/>
      <c r="E375" s="154"/>
    </row>
    <row r="376" spans="4:5" ht="32.1" hidden="1" customHeight="1">
      <c r="D376" s="155"/>
      <c r="E376" s="154"/>
    </row>
    <row r="377" spans="4:5" ht="32.1" hidden="1" customHeight="1">
      <c r="D377" s="155"/>
      <c r="E377" s="154"/>
    </row>
    <row r="378" spans="4:5" ht="32.1" hidden="1" customHeight="1">
      <c r="D378" s="155"/>
      <c r="E378" s="154"/>
    </row>
    <row r="379" spans="4:5" ht="32.1" hidden="1" customHeight="1">
      <c r="D379" s="155"/>
      <c r="E379" s="154"/>
    </row>
    <row r="380" spans="4:5" ht="32.1" hidden="1" customHeight="1">
      <c r="D380" s="155"/>
      <c r="E380" s="154"/>
    </row>
    <row r="381" spans="4:5" ht="32.1" hidden="1" customHeight="1">
      <c r="D381" s="155"/>
      <c r="E381" s="154"/>
    </row>
    <row r="382" spans="4:5" ht="32.1" hidden="1" customHeight="1">
      <c r="D382" s="155"/>
      <c r="E382" s="154"/>
    </row>
    <row r="383" spans="4:5" ht="32.1" hidden="1" customHeight="1">
      <c r="D383" s="155"/>
      <c r="E383" s="154"/>
    </row>
    <row r="384" spans="4:5" ht="32.1" hidden="1" customHeight="1">
      <c r="D384" s="155"/>
      <c r="E384" s="154"/>
    </row>
    <row r="385" spans="4:5" ht="32.1" hidden="1" customHeight="1">
      <c r="D385" s="155"/>
      <c r="E385" s="154"/>
    </row>
    <row r="386" spans="4:5" ht="32.1" hidden="1" customHeight="1">
      <c r="D386" s="155"/>
      <c r="E386" s="154"/>
    </row>
    <row r="387" spans="4:5" ht="32.1" hidden="1" customHeight="1">
      <c r="D387" s="155"/>
      <c r="E387" s="154"/>
    </row>
    <row r="388" spans="4:5" ht="32.1" hidden="1" customHeight="1">
      <c r="D388" s="155"/>
      <c r="E388" s="154"/>
    </row>
    <row r="389" spans="4:5" ht="32.1" hidden="1" customHeight="1">
      <c r="D389" s="155"/>
      <c r="E389" s="154"/>
    </row>
    <row r="390" spans="4:5" ht="32.1" hidden="1" customHeight="1">
      <c r="D390" s="155"/>
      <c r="E390" s="154"/>
    </row>
    <row r="391" spans="4:5" ht="32.1" hidden="1" customHeight="1">
      <c r="D391" s="155"/>
      <c r="E391" s="154"/>
    </row>
    <row r="392" spans="4:5" ht="32.1" hidden="1" customHeight="1">
      <c r="D392" s="155"/>
      <c r="E392" s="154"/>
    </row>
    <row r="393" spans="4:5" ht="32.1" hidden="1" customHeight="1">
      <c r="D393" s="155"/>
      <c r="E393" s="154"/>
    </row>
    <row r="394" spans="4:5" ht="32.1" hidden="1" customHeight="1">
      <c r="D394" s="155"/>
      <c r="E394" s="154"/>
    </row>
    <row r="395" spans="4:5" ht="32.1" hidden="1" customHeight="1">
      <c r="D395" s="155"/>
      <c r="E395" s="154"/>
    </row>
    <row r="396" spans="4:5" ht="32.1" hidden="1" customHeight="1">
      <c r="D396" s="155"/>
      <c r="E396" s="154"/>
    </row>
    <row r="397" spans="4:5" ht="32.1" hidden="1" customHeight="1">
      <c r="D397" s="155"/>
      <c r="E397" s="154"/>
    </row>
    <row r="398" spans="4:5" ht="32.1" hidden="1" customHeight="1">
      <c r="D398" s="155"/>
      <c r="E398" s="154"/>
    </row>
    <row r="399" spans="4:5" ht="32.1" hidden="1" customHeight="1">
      <c r="D399" s="155"/>
      <c r="E399" s="154"/>
    </row>
    <row r="400" spans="4:5" ht="32.1" hidden="1" customHeight="1">
      <c r="D400" s="155"/>
      <c r="E400" s="154"/>
    </row>
    <row r="401" spans="4:5" ht="32.1" hidden="1" customHeight="1">
      <c r="D401" s="155"/>
      <c r="E401" s="154"/>
    </row>
    <row r="402" spans="4:5" ht="32.1" hidden="1" customHeight="1">
      <c r="D402" s="155"/>
      <c r="E402" s="154"/>
    </row>
    <row r="403" spans="4:5" ht="32.1" hidden="1" customHeight="1">
      <c r="D403" s="155"/>
      <c r="E403" s="154"/>
    </row>
    <row r="404" spans="4:5" ht="32.1" hidden="1" customHeight="1">
      <c r="D404" s="155"/>
      <c r="E404" s="154"/>
    </row>
    <row r="405" spans="4:5" ht="32.1" hidden="1" customHeight="1">
      <c r="D405" s="155"/>
      <c r="E405" s="154"/>
    </row>
    <row r="406" spans="4:5" ht="32.1" hidden="1" customHeight="1">
      <c r="D406" s="155"/>
      <c r="E406" s="154"/>
    </row>
    <row r="407" spans="4:5" ht="32.1" hidden="1" customHeight="1">
      <c r="D407" s="155"/>
      <c r="E407" s="154"/>
    </row>
    <row r="408" spans="4:5" ht="32.1" hidden="1" customHeight="1">
      <c r="D408" s="155"/>
      <c r="E408" s="154"/>
    </row>
    <row r="409" spans="4:5" ht="32.1" hidden="1" customHeight="1">
      <c r="D409" s="155"/>
      <c r="E409" s="154"/>
    </row>
    <row r="410" spans="4:5" ht="32.1" hidden="1" customHeight="1">
      <c r="D410" s="155"/>
      <c r="E410" s="154"/>
    </row>
    <row r="411" spans="4:5" ht="32.1" hidden="1" customHeight="1">
      <c r="D411" s="155"/>
      <c r="E411" s="154"/>
    </row>
    <row r="412" spans="4:5" ht="32.1" hidden="1" customHeight="1">
      <c r="D412" s="155"/>
      <c r="E412" s="154"/>
    </row>
    <row r="413" spans="4:5" ht="32.1" hidden="1" customHeight="1">
      <c r="D413" s="155"/>
      <c r="E413" s="154"/>
    </row>
    <row r="414" spans="4:5" ht="32.1" hidden="1" customHeight="1">
      <c r="D414" s="155"/>
      <c r="E414" s="154"/>
    </row>
    <row r="415" spans="4:5" ht="32.1" hidden="1" customHeight="1">
      <c r="D415" s="155"/>
      <c r="E415" s="154"/>
    </row>
    <row r="416" spans="4:5" ht="32.1" hidden="1" customHeight="1">
      <c r="D416" s="155"/>
      <c r="E416" s="154"/>
    </row>
    <row r="417" spans="4:5" ht="32.1" hidden="1" customHeight="1">
      <c r="D417" s="155"/>
      <c r="E417" s="154"/>
    </row>
    <row r="418" spans="4:5" ht="32.1" hidden="1" customHeight="1">
      <c r="D418" s="155"/>
      <c r="E418" s="154"/>
    </row>
    <row r="419" spans="4:5" ht="32.1" hidden="1" customHeight="1">
      <c r="D419" s="155"/>
      <c r="E419" s="154"/>
    </row>
    <row r="420" spans="4:5" ht="32.1" hidden="1" customHeight="1">
      <c r="D420" s="155"/>
      <c r="E420" s="154"/>
    </row>
    <row r="421" spans="4:5" ht="32.1" hidden="1" customHeight="1">
      <c r="D421" s="155"/>
      <c r="E421" s="154"/>
    </row>
    <row r="422" spans="4:5" ht="32.1" hidden="1" customHeight="1">
      <c r="D422" s="155"/>
      <c r="E422" s="154"/>
    </row>
    <row r="423" spans="4:5" ht="32.1" hidden="1" customHeight="1">
      <c r="D423" s="155"/>
      <c r="E423" s="154"/>
    </row>
    <row r="424" spans="4:5" ht="32.1" hidden="1" customHeight="1">
      <c r="D424" s="155"/>
      <c r="E424" s="154"/>
    </row>
    <row r="425" spans="4:5" ht="32.1" hidden="1" customHeight="1">
      <c r="D425" s="155"/>
      <c r="E425" s="154"/>
    </row>
    <row r="426" spans="4:5" ht="32.1" hidden="1" customHeight="1">
      <c r="D426" s="155"/>
      <c r="E426" s="154"/>
    </row>
    <row r="427" spans="4:5" ht="32.1" hidden="1" customHeight="1">
      <c r="D427" s="155"/>
      <c r="E427" s="154"/>
    </row>
    <row r="428" spans="4:5" ht="32.1" hidden="1" customHeight="1">
      <c r="D428" s="155"/>
      <c r="E428" s="154"/>
    </row>
    <row r="429" spans="4:5" ht="32.1" hidden="1" customHeight="1">
      <c r="D429" s="155"/>
      <c r="E429" s="154"/>
    </row>
    <row r="430" spans="4:5" ht="32.1" hidden="1" customHeight="1">
      <c r="D430" s="155"/>
      <c r="E430" s="154"/>
    </row>
    <row r="431" spans="4:5" ht="32.1" hidden="1" customHeight="1">
      <c r="D431" s="155"/>
      <c r="E431" s="154"/>
    </row>
    <row r="432" spans="4:5" ht="32.1" hidden="1" customHeight="1">
      <c r="D432" s="155"/>
      <c r="E432" s="154"/>
    </row>
    <row r="433" spans="4:5" ht="32.1" hidden="1" customHeight="1">
      <c r="D433" s="155"/>
      <c r="E433" s="154"/>
    </row>
    <row r="434" spans="4:5" ht="32.1" hidden="1" customHeight="1">
      <c r="D434" s="155"/>
      <c r="E434" s="154"/>
    </row>
    <row r="435" spans="4:5" ht="32.1" hidden="1" customHeight="1">
      <c r="D435" s="155"/>
      <c r="E435" s="154"/>
    </row>
    <row r="436" spans="4:5" ht="32.1" hidden="1" customHeight="1">
      <c r="D436" s="155"/>
      <c r="E436" s="154"/>
    </row>
    <row r="437" spans="4:5" ht="32.1" hidden="1" customHeight="1">
      <c r="D437" s="155"/>
      <c r="E437" s="154"/>
    </row>
    <row r="438" spans="4:5" ht="32.1" hidden="1" customHeight="1">
      <c r="D438" s="155"/>
      <c r="E438" s="154"/>
    </row>
    <row r="439" spans="4:5" ht="32.1" hidden="1" customHeight="1">
      <c r="D439" s="155"/>
      <c r="E439" s="154"/>
    </row>
    <row r="440" spans="4:5" ht="32.1" hidden="1" customHeight="1">
      <c r="D440" s="155"/>
      <c r="E440" s="154"/>
    </row>
    <row r="441" spans="4:5" ht="32.1" hidden="1" customHeight="1">
      <c r="D441" s="155"/>
      <c r="E441" s="154"/>
    </row>
    <row r="442" spans="4:5" ht="32.1" hidden="1" customHeight="1">
      <c r="D442" s="155"/>
      <c r="E442" s="154"/>
    </row>
    <row r="443" spans="4:5" ht="32.1" hidden="1" customHeight="1">
      <c r="D443" s="155"/>
      <c r="E443" s="154"/>
    </row>
    <row r="444" spans="4:5" ht="32.1" hidden="1" customHeight="1">
      <c r="D444" s="155"/>
      <c r="E444" s="154"/>
    </row>
    <row r="445" spans="4:5" ht="32.1" hidden="1" customHeight="1">
      <c r="D445" s="155"/>
      <c r="E445" s="154"/>
    </row>
    <row r="446" spans="4:5" ht="32.1" hidden="1" customHeight="1">
      <c r="D446" s="155"/>
      <c r="E446" s="154"/>
    </row>
    <row r="447" spans="4:5" ht="32.1" hidden="1" customHeight="1">
      <c r="D447" s="155"/>
      <c r="E447" s="154"/>
    </row>
    <row r="448" spans="4:5" ht="32.1" hidden="1" customHeight="1">
      <c r="D448" s="155"/>
      <c r="E448" s="154"/>
    </row>
    <row r="449" spans="4:5" ht="32.1" hidden="1" customHeight="1">
      <c r="D449" s="155"/>
      <c r="E449" s="154"/>
    </row>
    <row r="450" spans="4:5" ht="32.1" hidden="1" customHeight="1">
      <c r="D450" s="155"/>
      <c r="E450" s="154"/>
    </row>
    <row r="451" spans="4:5" ht="32.1" hidden="1" customHeight="1">
      <c r="D451" s="155"/>
      <c r="E451" s="154"/>
    </row>
    <row r="452" spans="4:5" ht="32.1" hidden="1" customHeight="1">
      <c r="D452" s="155"/>
      <c r="E452" s="154"/>
    </row>
    <row r="453" spans="4:5" ht="32.1" hidden="1" customHeight="1">
      <c r="D453" s="155"/>
      <c r="E453" s="154"/>
    </row>
    <row r="454" spans="4:5" ht="32.1" hidden="1" customHeight="1">
      <c r="D454" s="155"/>
      <c r="E454" s="154"/>
    </row>
    <row r="455" spans="4:5" ht="32.1" hidden="1" customHeight="1">
      <c r="D455" s="155"/>
      <c r="E455" s="154"/>
    </row>
    <row r="456" spans="4:5" ht="32.1" hidden="1" customHeight="1">
      <c r="D456" s="155"/>
      <c r="E456" s="154"/>
    </row>
    <row r="457" spans="4:5" ht="32.1" hidden="1" customHeight="1">
      <c r="D457" s="155"/>
      <c r="E457" s="154"/>
    </row>
    <row r="458" spans="4:5" ht="32.1" hidden="1" customHeight="1">
      <c r="D458" s="155"/>
      <c r="E458" s="154"/>
    </row>
    <row r="459" spans="4:5" ht="32.1" hidden="1" customHeight="1">
      <c r="D459" s="155"/>
      <c r="E459" s="154"/>
    </row>
    <row r="460" spans="4:5" ht="32.1" hidden="1" customHeight="1">
      <c r="D460" s="155"/>
      <c r="E460" s="154"/>
    </row>
    <row r="461" spans="4:5" ht="32.1" hidden="1" customHeight="1">
      <c r="D461" s="155"/>
      <c r="E461" s="154"/>
    </row>
    <row r="462" spans="4:5" ht="32.1" hidden="1" customHeight="1">
      <c r="D462" s="155"/>
      <c r="E462" s="154"/>
    </row>
    <row r="463" spans="4:5" ht="32.1" hidden="1" customHeight="1">
      <c r="D463" s="155"/>
      <c r="E463" s="154"/>
    </row>
    <row r="464" spans="4:5" ht="32.1" hidden="1" customHeight="1">
      <c r="D464" s="155"/>
      <c r="E464" s="154"/>
    </row>
    <row r="465" spans="4:5" ht="32.1" hidden="1" customHeight="1">
      <c r="D465" s="155"/>
      <c r="E465" s="154"/>
    </row>
    <row r="466" spans="4:5" ht="32.1" hidden="1" customHeight="1">
      <c r="D466" s="155"/>
      <c r="E466" s="154"/>
    </row>
    <row r="467" spans="4:5" ht="32.1" hidden="1" customHeight="1">
      <c r="D467" s="155"/>
      <c r="E467" s="154"/>
    </row>
    <row r="468" spans="4:5" ht="32.1" hidden="1" customHeight="1">
      <c r="D468" s="155"/>
      <c r="E468" s="154"/>
    </row>
    <row r="469" spans="4:5" ht="32.1" hidden="1" customHeight="1">
      <c r="D469" s="155"/>
      <c r="E469" s="154"/>
    </row>
    <row r="470" spans="4:5" ht="32.1" hidden="1" customHeight="1">
      <c r="D470" s="155"/>
      <c r="E470" s="154"/>
    </row>
    <row r="471" spans="4:5" ht="32.1" hidden="1" customHeight="1">
      <c r="D471" s="155"/>
      <c r="E471" s="154"/>
    </row>
    <row r="472" spans="4:5" ht="32.1" hidden="1" customHeight="1">
      <c r="D472" s="155"/>
      <c r="E472" s="154"/>
    </row>
    <row r="473" spans="4:5" ht="32.1" hidden="1" customHeight="1">
      <c r="D473" s="155"/>
      <c r="E473" s="154"/>
    </row>
    <row r="474" spans="4:5" ht="32.1" hidden="1" customHeight="1">
      <c r="D474" s="155"/>
      <c r="E474" s="154"/>
    </row>
    <row r="475" spans="4:5" ht="32.1" hidden="1" customHeight="1">
      <c r="D475" s="155"/>
      <c r="E475" s="154"/>
    </row>
    <row r="476" spans="4:5" ht="32.1" hidden="1" customHeight="1">
      <c r="D476" s="155"/>
      <c r="E476" s="154"/>
    </row>
    <row r="477" spans="4:5" ht="32.1" hidden="1" customHeight="1">
      <c r="D477" s="155"/>
      <c r="E477" s="154"/>
    </row>
    <row r="478" spans="4:5" ht="32.1" hidden="1" customHeight="1">
      <c r="D478" s="155"/>
      <c r="E478" s="154"/>
    </row>
    <row r="479" spans="4:5" ht="32.1" hidden="1" customHeight="1">
      <c r="D479" s="155"/>
      <c r="E479" s="154"/>
    </row>
    <row r="480" spans="4:5" ht="32.1" hidden="1" customHeight="1">
      <c r="D480" s="155"/>
      <c r="E480" s="154"/>
    </row>
    <row r="481" spans="4:5" ht="32.1" hidden="1" customHeight="1">
      <c r="D481" s="155"/>
      <c r="E481" s="154"/>
    </row>
    <row r="482" spans="4:5" ht="32.1" hidden="1" customHeight="1">
      <c r="D482" s="155"/>
      <c r="E482" s="154"/>
    </row>
    <row r="483" spans="4:5" ht="32.1" hidden="1" customHeight="1">
      <c r="D483" s="155"/>
      <c r="E483" s="154"/>
    </row>
    <row r="484" spans="4:5" ht="32.1" hidden="1" customHeight="1">
      <c r="D484" s="155"/>
      <c r="E484" s="154"/>
    </row>
    <row r="485" spans="4:5" ht="32.1" hidden="1" customHeight="1">
      <c r="D485" s="155"/>
      <c r="E485" s="154"/>
    </row>
    <row r="486" spans="4:5" ht="32.1" hidden="1" customHeight="1">
      <c r="D486" s="155"/>
      <c r="E486" s="154"/>
    </row>
    <row r="487" spans="4:5" ht="32.1" hidden="1" customHeight="1">
      <c r="D487" s="155"/>
      <c r="E487" s="154"/>
    </row>
    <row r="488" spans="4:5" ht="32.1" hidden="1" customHeight="1">
      <c r="D488" s="155"/>
      <c r="E488" s="154"/>
    </row>
    <row r="489" spans="4:5" ht="32.1" hidden="1" customHeight="1">
      <c r="D489" s="155"/>
      <c r="E489" s="154"/>
    </row>
    <row r="490" spans="4:5" ht="32.1" hidden="1" customHeight="1">
      <c r="D490" s="155"/>
      <c r="E490" s="154"/>
    </row>
    <row r="491" spans="4:5" ht="32.1" hidden="1" customHeight="1">
      <c r="D491" s="155"/>
      <c r="E491" s="154"/>
    </row>
    <row r="492" spans="4:5" ht="32.1" hidden="1" customHeight="1">
      <c r="D492" s="155"/>
      <c r="E492" s="154"/>
    </row>
    <row r="493" spans="4:5" ht="32.1" hidden="1" customHeight="1">
      <c r="D493" s="155"/>
      <c r="E493" s="154"/>
    </row>
    <row r="494" spans="4:5" ht="32.1" hidden="1" customHeight="1">
      <c r="D494" s="155"/>
      <c r="E494" s="154"/>
    </row>
    <row r="495" spans="4:5" ht="32.1" hidden="1" customHeight="1">
      <c r="D495" s="155"/>
      <c r="E495" s="154"/>
    </row>
    <row r="496" spans="4:5" ht="32.1" hidden="1" customHeight="1">
      <c r="D496" s="155"/>
      <c r="E496" s="154"/>
    </row>
    <row r="497" spans="4:5" ht="32.1" hidden="1" customHeight="1">
      <c r="D497" s="155"/>
      <c r="E497" s="154"/>
    </row>
    <row r="498" spans="4:5" ht="32.1" hidden="1" customHeight="1">
      <c r="D498" s="155"/>
      <c r="E498" s="154"/>
    </row>
    <row r="499" spans="4:5" ht="32.1" hidden="1" customHeight="1">
      <c r="D499" s="155"/>
      <c r="E499" s="154"/>
    </row>
    <row r="500" spans="4:5" ht="32.1" hidden="1" customHeight="1">
      <c r="D500" s="155"/>
      <c r="E500" s="154"/>
    </row>
    <row r="501" spans="4:5" ht="32.1" hidden="1" customHeight="1">
      <c r="D501" s="155"/>
      <c r="E501" s="154"/>
    </row>
    <row r="502" spans="4:5" ht="32.1" hidden="1" customHeight="1">
      <c r="D502" s="155"/>
      <c r="E502" s="154"/>
    </row>
    <row r="503" spans="4:5" ht="32.1" hidden="1" customHeight="1">
      <c r="D503" s="155"/>
      <c r="E503" s="154"/>
    </row>
    <row r="504" spans="4:5" ht="32.1" hidden="1" customHeight="1">
      <c r="D504" s="155"/>
      <c r="E504" s="154"/>
    </row>
    <row r="505" spans="4:5" ht="32.1" hidden="1" customHeight="1">
      <c r="D505" s="155"/>
      <c r="E505" s="154"/>
    </row>
    <row r="506" spans="4:5" ht="32.1" hidden="1" customHeight="1">
      <c r="D506" s="155"/>
      <c r="E506" s="154"/>
    </row>
    <row r="507" spans="4:5" ht="32.1" hidden="1" customHeight="1">
      <c r="D507" s="155"/>
      <c r="E507" s="154"/>
    </row>
    <row r="508" spans="4:5" ht="32.1" hidden="1" customHeight="1">
      <c r="D508" s="155"/>
      <c r="E508" s="154"/>
    </row>
    <row r="509" spans="4:5" ht="32.1" hidden="1" customHeight="1">
      <c r="D509" s="155"/>
      <c r="E509" s="154"/>
    </row>
    <row r="510" spans="4:5" ht="32.1" hidden="1" customHeight="1">
      <c r="D510" s="155"/>
      <c r="E510" s="154"/>
    </row>
    <row r="511" spans="4:5" ht="32.1" hidden="1" customHeight="1">
      <c r="D511" s="155"/>
      <c r="E511" s="154"/>
    </row>
    <row r="512" spans="4:5" ht="32.1" hidden="1" customHeight="1">
      <c r="D512" s="155"/>
      <c r="E512" s="154"/>
    </row>
    <row r="513" spans="4:5" ht="32.1" hidden="1" customHeight="1">
      <c r="D513" s="155"/>
      <c r="E513" s="154"/>
    </row>
    <row r="514" spans="4:5" ht="32.1" hidden="1" customHeight="1">
      <c r="D514" s="155"/>
      <c r="E514" s="154"/>
    </row>
    <row r="515" spans="4:5" ht="32.1" hidden="1" customHeight="1">
      <c r="D515" s="155"/>
      <c r="E515" s="154"/>
    </row>
    <row r="516" spans="4:5" ht="32.1" hidden="1" customHeight="1">
      <c r="D516" s="155"/>
      <c r="E516" s="154"/>
    </row>
    <row r="517" spans="4:5" ht="32.1" hidden="1" customHeight="1">
      <c r="D517" s="155"/>
      <c r="E517" s="154"/>
    </row>
    <row r="518" spans="4:5" ht="32.1" hidden="1" customHeight="1">
      <c r="D518" s="155"/>
      <c r="E518" s="154"/>
    </row>
    <row r="519" spans="4:5" ht="32.1" hidden="1" customHeight="1">
      <c r="D519" s="155"/>
      <c r="E519" s="154"/>
    </row>
    <row r="520" spans="4:5" ht="32.1" hidden="1" customHeight="1">
      <c r="D520" s="155"/>
      <c r="E520" s="154"/>
    </row>
    <row r="521" spans="4:5" ht="32.1" hidden="1" customHeight="1">
      <c r="D521" s="155"/>
      <c r="E521" s="154"/>
    </row>
    <row r="522" spans="4:5" ht="32.1" hidden="1" customHeight="1">
      <c r="D522" s="155"/>
      <c r="E522" s="154"/>
    </row>
    <row r="523" spans="4:5" ht="32.1" hidden="1" customHeight="1">
      <c r="D523" s="155"/>
      <c r="E523" s="154"/>
    </row>
    <row r="524" spans="4:5" ht="32.1" hidden="1" customHeight="1">
      <c r="D524" s="155"/>
      <c r="E524" s="154"/>
    </row>
    <row r="525" spans="4:5" ht="32.1" hidden="1" customHeight="1">
      <c r="D525" s="155"/>
      <c r="E525" s="154"/>
    </row>
    <row r="526" spans="4:5" ht="32.1" hidden="1" customHeight="1">
      <c r="D526" s="155"/>
      <c r="E526" s="154"/>
    </row>
    <row r="527" spans="4:5" ht="32.1" hidden="1" customHeight="1">
      <c r="D527" s="155"/>
      <c r="E527" s="154"/>
    </row>
    <row r="528" spans="4:5" ht="32.1" hidden="1" customHeight="1">
      <c r="D528" s="155"/>
      <c r="E528" s="154"/>
    </row>
    <row r="529" spans="4:5" ht="32.1" hidden="1" customHeight="1">
      <c r="D529" s="155"/>
      <c r="E529" s="154"/>
    </row>
    <row r="530" spans="4:5" ht="32.1" hidden="1" customHeight="1">
      <c r="D530" s="155"/>
      <c r="E530" s="154"/>
    </row>
    <row r="531" spans="4:5" ht="32.1" hidden="1" customHeight="1">
      <c r="D531" s="155"/>
      <c r="E531" s="154"/>
    </row>
    <row r="532" spans="4:5" ht="32.1" hidden="1" customHeight="1">
      <c r="D532" s="155"/>
      <c r="E532" s="154"/>
    </row>
    <row r="533" spans="4:5" ht="32.1" hidden="1" customHeight="1">
      <c r="D533" s="155"/>
      <c r="E533" s="154"/>
    </row>
    <row r="534" spans="4:5" ht="32.1" hidden="1" customHeight="1">
      <c r="D534" s="155"/>
      <c r="E534" s="154"/>
    </row>
    <row r="535" spans="4:5" ht="32.1" hidden="1" customHeight="1">
      <c r="D535" s="155"/>
      <c r="E535" s="154"/>
    </row>
    <row r="536" spans="4:5" ht="32.1" hidden="1" customHeight="1">
      <c r="D536" s="155"/>
      <c r="E536" s="154"/>
    </row>
    <row r="537" spans="4:5" ht="32.1" hidden="1" customHeight="1">
      <c r="D537" s="155"/>
      <c r="E537" s="154"/>
    </row>
    <row r="538" spans="4:5" ht="32.1" hidden="1" customHeight="1">
      <c r="D538" s="155"/>
      <c r="E538" s="154"/>
    </row>
    <row r="539" spans="4:5" ht="32.1" hidden="1" customHeight="1">
      <c r="D539" s="155"/>
      <c r="E539" s="154"/>
    </row>
    <row r="540" spans="4:5" ht="32.1" hidden="1" customHeight="1">
      <c r="D540" s="155"/>
      <c r="E540" s="154"/>
    </row>
    <row r="541" spans="4:5" ht="32.1" hidden="1" customHeight="1">
      <c r="D541" s="155"/>
      <c r="E541" s="154"/>
    </row>
    <row r="542" spans="4:5" ht="32.1" hidden="1" customHeight="1">
      <c r="D542" s="155"/>
      <c r="E542" s="154"/>
    </row>
    <row r="543" spans="4:5" ht="32.1" hidden="1" customHeight="1">
      <c r="D543" s="155"/>
      <c r="E543" s="154"/>
    </row>
  </sheetData>
  <autoFilter ref="A1:P277"/>
  <mergeCells count="6">
    <mergeCell ref="M1:M2"/>
    <mergeCell ref="A1:A2"/>
    <mergeCell ref="B1:B2"/>
    <mergeCell ref="C1:C2"/>
    <mergeCell ref="D1:D2"/>
    <mergeCell ref="E1:E2"/>
  </mergeCells>
  <phoneticPr fontId="11" type="noConversion"/>
  <printOptions horizontalCentered="1"/>
  <pageMargins left="0.19685039370078741" right="0.19685039370078741" top="1.3779527559055118" bottom="0.78740157480314965" header="0.78740157480314965" footer="0.19685039370078741"/>
  <pageSetup paperSize="9" orientation="portrait" blackAndWhite="1" r:id="rId1"/>
  <headerFooter alignWithMargins="0">
    <oddHeader>&amp;C&amp;"굴림,굵게"&amp;18용 지 조 서 (&amp;P)&amp;R
인천광역시 강화군 내가면 고천리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543"/>
  <sheetViews>
    <sheetView showGridLines="0" showZeros="0" view="pageBreakPreview" zoomScaleSheetLayoutView="100" workbookViewId="0">
      <pane xSplit="2" ySplit="2" topLeftCell="C84" activePane="bottomRight" state="frozen"/>
      <selection pane="topRight"/>
      <selection pane="bottomLeft"/>
      <selection pane="bottomRight" sqref="A1:A2"/>
    </sheetView>
  </sheetViews>
  <sheetFormatPr defaultRowHeight="11.25"/>
  <cols>
    <col min="1" max="1" width="3.77734375" style="113" customWidth="1"/>
    <col min="2" max="2" width="6.44140625" style="121" customWidth="1"/>
    <col min="3" max="3" width="3.77734375" style="113" customWidth="1"/>
    <col min="4" max="4" width="7.77734375" style="113" customWidth="1"/>
    <col min="5" max="5" width="7.77734375" style="122" hidden="1" customWidth="1"/>
    <col min="6" max="6" width="3.77734375" style="113" hidden="1" customWidth="1"/>
    <col min="7" max="7" width="5.6640625" style="113" hidden="1" customWidth="1"/>
    <col min="8" max="8" width="6.77734375" style="113" customWidth="1"/>
    <col min="9" max="9" width="15.77734375" style="113" customWidth="1"/>
    <col min="10" max="10" width="6.77734375" style="152" customWidth="1"/>
    <col min="11" max="11" width="13.77734375" style="113" customWidth="1"/>
    <col min="12" max="12" width="5.77734375" style="113" customWidth="1"/>
    <col min="13" max="13" width="4.77734375" style="113" customWidth="1"/>
    <col min="14" max="15" width="8.77734375" style="113" hidden="1" customWidth="1"/>
    <col min="16" max="16" width="10.77734375" style="123" hidden="1" customWidth="1"/>
    <col min="17" max="17" width="9.77734375" style="113" hidden="1" customWidth="1"/>
    <col min="18" max="24" width="11.77734375" style="113" hidden="1" customWidth="1"/>
    <col min="25" max="25" width="9.77734375" style="113" hidden="1" customWidth="1"/>
    <col min="26" max="16384" width="8.88671875" style="113"/>
  </cols>
  <sheetData>
    <row r="1" spans="1:24" ht="24.95" customHeight="1">
      <c r="A1" s="494" t="s">
        <v>99</v>
      </c>
      <c r="B1" s="496" t="s">
        <v>72</v>
      </c>
      <c r="C1" s="498" t="s">
        <v>28</v>
      </c>
      <c r="D1" s="498" t="s">
        <v>100</v>
      </c>
      <c r="E1" s="498" t="s">
        <v>101</v>
      </c>
      <c r="F1" s="214" t="s">
        <v>31</v>
      </c>
      <c r="G1" s="214"/>
      <c r="H1" s="214" t="s">
        <v>73</v>
      </c>
      <c r="I1" s="214"/>
      <c r="J1" s="214" t="s">
        <v>76</v>
      </c>
      <c r="K1" s="214"/>
      <c r="L1" s="214"/>
      <c r="M1" s="492" t="s">
        <v>22</v>
      </c>
      <c r="N1" s="185"/>
      <c r="O1" s="185"/>
      <c r="P1" s="116"/>
      <c r="Q1" s="117"/>
    </row>
    <row r="2" spans="1:24" ht="24.95" customHeight="1">
      <c r="A2" s="495"/>
      <c r="B2" s="497"/>
      <c r="C2" s="499"/>
      <c r="D2" s="499"/>
      <c r="E2" s="499"/>
      <c r="F2" s="220" t="s">
        <v>28</v>
      </c>
      <c r="G2" s="220" t="s">
        <v>35</v>
      </c>
      <c r="H2" s="221" t="s">
        <v>74</v>
      </c>
      <c r="I2" s="221" t="s">
        <v>75</v>
      </c>
      <c r="J2" s="221" t="s">
        <v>74</v>
      </c>
      <c r="K2" s="221" t="s">
        <v>75</v>
      </c>
      <c r="L2" s="221" t="s">
        <v>38</v>
      </c>
      <c r="M2" s="493"/>
      <c r="N2" s="186"/>
      <c r="O2" s="186"/>
      <c r="P2" s="118"/>
      <c r="Q2" s="119"/>
      <c r="R2" s="119" t="s">
        <v>112</v>
      </c>
      <c r="S2" s="119" t="s">
        <v>113</v>
      </c>
      <c r="T2" s="119" t="s">
        <v>114</v>
      </c>
      <c r="U2" s="319" t="s">
        <v>115</v>
      </c>
      <c r="V2" s="320">
        <v>2</v>
      </c>
      <c r="W2" s="320">
        <v>3</v>
      </c>
      <c r="X2" s="320">
        <v>4</v>
      </c>
    </row>
    <row r="3" spans="1:24" s="158" customFormat="1" ht="30" customHeight="1">
      <c r="A3" s="215">
        <v>1</v>
      </c>
      <c r="B3" s="222" t="s">
        <v>330</v>
      </c>
      <c r="C3" s="223" t="s">
        <v>132</v>
      </c>
      <c r="D3" s="317">
        <v>379</v>
      </c>
      <c r="E3" s="318">
        <v>46</v>
      </c>
      <c r="F3" s="216"/>
      <c r="G3" s="216"/>
      <c r="H3" s="225" t="s">
        <v>205</v>
      </c>
      <c r="I3" s="243"/>
      <c r="J3" s="217"/>
      <c r="K3" s="218"/>
      <c r="L3" s="218"/>
      <c r="M3" s="219"/>
      <c r="N3" s="187">
        <v>3</v>
      </c>
      <c r="O3" s="187" t="str">
        <f t="shared" ref="O3" si="0">IF(N3=1,"국",IF(N3=2,"공","사"))</f>
        <v>사</v>
      </c>
      <c r="P3" s="156" t="str">
        <f t="shared" ref="P3" si="1">CONCATENATE(C3,O3)</f>
        <v>임사</v>
      </c>
      <c r="Q3" s="157"/>
      <c r="R3" s="321">
        <v>8440</v>
      </c>
      <c r="S3" s="321">
        <f t="shared" ref="S3:S39" si="2">IF(N3=3,R3,)</f>
        <v>8440</v>
      </c>
      <c r="T3" s="321">
        <f t="shared" ref="T3:T39" si="3">IF(OR(N3=1,N3=2),R3,)</f>
        <v>0</v>
      </c>
      <c r="U3" s="321">
        <f t="shared" ref="U3:U39" si="4">S3*E3</f>
        <v>388240</v>
      </c>
      <c r="V3" s="322">
        <f t="shared" ref="V3:V39" si="5">ROUND($U3*V$2,0)</f>
        <v>776480</v>
      </c>
      <c r="W3" s="322">
        <f t="shared" ref="W3:X3" si="6">ROUND($U3*W$2,0)</f>
        <v>1164720</v>
      </c>
      <c r="X3" s="322">
        <f t="shared" si="6"/>
        <v>1552960</v>
      </c>
    </row>
    <row r="4" spans="1:24" s="158" customFormat="1" ht="30" customHeight="1">
      <c r="A4" s="215">
        <f>A3+1</f>
        <v>2</v>
      </c>
      <c r="B4" s="222" t="s">
        <v>175</v>
      </c>
      <c r="C4" s="223" t="s">
        <v>176</v>
      </c>
      <c r="D4" s="317"/>
      <c r="E4" s="318">
        <v>72</v>
      </c>
      <c r="F4" s="216"/>
      <c r="G4" s="216"/>
      <c r="H4" s="225" t="s">
        <v>205</v>
      </c>
      <c r="I4" s="243"/>
      <c r="J4" s="217"/>
      <c r="K4" s="218"/>
      <c r="L4" s="218"/>
      <c r="M4" s="219"/>
      <c r="N4" s="187">
        <v>2</v>
      </c>
      <c r="O4" s="187" t="str">
        <f t="shared" ref="O4:O37" si="7">IF(N4=1,"국",IF(N4=2,"공","사"))</f>
        <v>공</v>
      </c>
      <c r="P4" s="156" t="str">
        <f t="shared" ref="P4:P37" si="8">CONCATENATE(C4,O4)</f>
        <v>도공</v>
      </c>
      <c r="Q4" s="157"/>
      <c r="R4" s="321">
        <v>16500</v>
      </c>
      <c r="S4" s="321">
        <f t="shared" si="2"/>
        <v>0</v>
      </c>
      <c r="T4" s="321">
        <f t="shared" si="3"/>
        <v>16500</v>
      </c>
      <c r="U4" s="321">
        <f t="shared" si="4"/>
        <v>0</v>
      </c>
      <c r="V4" s="322">
        <f t="shared" si="5"/>
        <v>0</v>
      </c>
      <c r="W4" s="322">
        <f t="shared" ref="W4:X23" si="9">ROUND($U4*W$2,0)</f>
        <v>0</v>
      </c>
      <c r="X4" s="322">
        <f t="shared" si="9"/>
        <v>0</v>
      </c>
    </row>
    <row r="5" spans="1:24" s="158" customFormat="1" ht="30" customHeight="1">
      <c r="A5" s="215">
        <f t="shared" ref="A5:A68" si="10">A4+1</f>
        <v>3</v>
      </c>
      <c r="B5" s="222" t="s">
        <v>179</v>
      </c>
      <c r="C5" s="223" t="s">
        <v>132</v>
      </c>
      <c r="D5" s="317">
        <v>74</v>
      </c>
      <c r="E5" s="318">
        <v>74</v>
      </c>
      <c r="F5" s="216"/>
      <c r="G5" s="216"/>
      <c r="H5" s="225" t="s">
        <v>254</v>
      </c>
      <c r="I5" s="243" t="s">
        <v>255</v>
      </c>
      <c r="J5" s="217"/>
      <c r="K5" s="218"/>
      <c r="L5" s="218"/>
      <c r="M5" s="219"/>
      <c r="N5" s="187">
        <v>3</v>
      </c>
      <c r="O5" s="187" t="str">
        <f t="shared" si="7"/>
        <v>사</v>
      </c>
      <c r="P5" s="156" t="str">
        <f t="shared" si="8"/>
        <v>임사</v>
      </c>
      <c r="Q5" s="157"/>
      <c r="R5" s="321">
        <v>8440</v>
      </c>
      <c r="S5" s="321">
        <f t="shared" si="2"/>
        <v>8440</v>
      </c>
      <c r="T5" s="321">
        <f t="shared" si="3"/>
        <v>0</v>
      </c>
      <c r="U5" s="321">
        <f t="shared" si="4"/>
        <v>624560</v>
      </c>
      <c r="V5" s="322">
        <f t="shared" si="5"/>
        <v>1249120</v>
      </c>
      <c r="W5" s="322">
        <f t="shared" si="9"/>
        <v>1873680</v>
      </c>
      <c r="X5" s="322">
        <f t="shared" si="9"/>
        <v>2498240</v>
      </c>
    </row>
    <row r="6" spans="1:24" s="158" customFormat="1" ht="30" customHeight="1">
      <c r="A6" s="215">
        <f t="shared" si="10"/>
        <v>4</v>
      </c>
      <c r="B6" s="222" t="s">
        <v>178</v>
      </c>
      <c r="C6" s="223" t="s">
        <v>176</v>
      </c>
      <c r="D6" s="317">
        <v>294</v>
      </c>
      <c r="E6" s="318">
        <v>294</v>
      </c>
      <c r="F6" s="216"/>
      <c r="G6" s="216"/>
      <c r="H6" s="225" t="s">
        <v>254</v>
      </c>
      <c r="I6" s="243" t="s">
        <v>255</v>
      </c>
      <c r="J6" s="217"/>
      <c r="K6" s="218"/>
      <c r="L6" s="218"/>
      <c r="M6" s="219"/>
      <c r="N6" s="187">
        <v>3</v>
      </c>
      <c r="O6" s="187" t="str">
        <f t="shared" si="7"/>
        <v>사</v>
      </c>
      <c r="P6" s="156" t="str">
        <f t="shared" si="8"/>
        <v>도사</v>
      </c>
      <c r="Q6" s="157"/>
      <c r="R6" s="321">
        <v>2400</v>
      </c>
      <c r="S6" s="321">
        <f t="shared" si="2"/>
        <v>2400</v>
      </c>
      <c r="T6" s="321">
        <f t="shared" si="3"/>
        <v>0</v>
      </c>
      <c r="U6" s="321">
        <f t="shared" si="4"/>
        <v>705600</v>
      </c>
      <c r="V6" s="322">
        <f t="shared" si="5"/>
        <v>1411200</v>
      </c>
      <c r="W6" s="322">
        <f t="shared" si="9"/>
        <v>2116800</v>
      </c>
      <c r="X6" s="322">
        <f t="shared" si="9"/>
        <v>2822400</v>
      </c>
    </row>
    <row r="7" spans="1:24" s="158" customFormat="1" ht="30" customHeight="1">
      <c r="A7" s="215">
        <f t="shared" si="10"/>
        <v>5</v>
      </c>
      <c r="B7" s="222" t="s">
        <v>183</v>
      </c>
      <c r="C7" s="223" t="s">
        <v>184</v>
      </c>
      <c r="D7" s="317"/>
      <c r="E7" s="318">
        <v>1080</v>
      </c>
      <c r="F7" s="216"/>
      <c r="G7" s="216"/>
      <c r="H7" s="316" t="s">
        <v>205</v>
      </c>
      <c r="I7" s="243"/>
      <c r="J7" s="217"/>
      <c r="K7" s="218"/>
      <c r="L7" s="218"/>
      <c r="M7" s="219"/>
      <c r="N7" s="187">
        <v>2</v>
      </c>
      <c r="O7" s="187" t="str">
        <f t="shared" si="7"/>
        <v>공</v>
      </c>
      <c r="P7" s="156" t="str">
        <f t="shared" si="8"/>
        <v>도공</v>
      </c>
      <c r="Q7" s="157"/>
      <c r="R7" s="321">
        <v>16500</v>
      </c>
      <c r="S7" s="321">
        <f t="shared" si="2"/>
        <v>0</v>
      </c>
      <c r="T7" s="321">
        <f t="shared" si="3"/>
        <v>16500</v>
      </c>
      <c r="U7" s="321">
        <f t="shared" si="4"/>
        <v>0</v>
      </c>
      <c r="V7" s="322">
        <f t="shared" si="5"/>
        <v>0</v>
      </c>
      <c r="W7" s="322">
        <f t="shared" si="9"/>
        <v>0</v>
      </c>
      <c r="X7" s="322">
        <f t="shared" si="9"/>
        <v>0</v>
      </c>
    </row>
    <row r="8" spans="1:24" s="158" customFormat="1" ht="30" customHeight="1">
      <c r="A8" s="215">
        <f t="shared" si="10"/>
        <v>6</v>
      </c>
      <c r="B8" s="222" t="s">
        <v>171</v>
      </c>
      <c r="C8" s="223" t="s">
        <v>63</v>
      </c>
      <c r="D8" s="317"/>
      <c r="E8" s="318">
        <v>378</v>
      </c>
      <c r="F8" s="216"/>
      <c r="G8" s="216"/>
      <c r="H8" s="316" t="s">
        <v>153</v>
      </c>
      <c r="I8" s="243"/>
      <c r="J8" s="217"/>
      <c r="K8" s="218"/>
      <c r="L8" s="218"/>
      <c r="M8" s="219"/>
      <c r="N8" s="187">
        <v>2</v>
      </c>
      <c r="O8" s="187" t="str">
        <f t="shared" si="7"/>
        <v>공</v>
      </c>
      <c r="P8" s="156" t="str">
        <f t="shared" si="8"/>
        <v>도공</v>
      </c>
      <c r="Q8" s="157"/>
      <c r="R8" s="321">
        <v>5510</v>
      </c>
      <c r="S8" s="321">
        <f t="shared" si="2"/>
        <v>0</v>
      </c>
      <c r="T8" s="321">
        <f t="shared" si="3"/>
        <v>5510</v>
      </c>
      <c r="U8" s="321">
        <f t="shared" si="4"/>
        <v>0</v>
      </c>
      <c r="V8" s="322">
        <f t="shared" si="5"/>
        <v>0</v>
      </c>
      <c r="W8" s="322">
        <f t="shared" si="9"/>
        <v>0</v>
      </c>
      <c r="X8" s="322">
        <f t="shared" si="9"/>
        <v>0</v>
      </c>
    </row>
    <row r="9" spans="1:24" s="158" customFormat="1" ht="30" customHeight="1">
      <c r="A9" s="215">
        <f t="shared" si="10"/>
        <v>7</v>
      </c>
      <c r="B9" s="222" t="s">
        <v>187</v>
      </c>
      <c r="C9" s="223" t="s">
        <v>176</v>
      </c>
      <c r="D9" s="317"/>
      <c r="E9" s="318">
        <v>9</v>
      </c>
      <c r="F9" s="216"/>
      <c r="G9" s="216"/>
      <c r="H9" s="316" t="s">
        <v>205</v>
      </c>
      <c r="I9" s="243"/>
      <c r="J9" s="217"/>
      <c r="K9" s="218"/>
      <c r="L9" s="218"/>
      <c r="M9" s="219"/>
      <c r="N9" s="187">
        <v>2</v>
      </c>
      <c r="O9" s="187" t="str">
        <f t="shared" si="7"/>
        <v>공</v>
      </c>
      <c r="P9" s="156" t="str">
        <f t="shared" si="8"/>
        <v>도공</v>
      </c>
      <c r="Q9" s="157"/>
      <c r="R9" s="321">
        <v>21400</v>
      </c>
      <c r="S9" s="321">
        <f t="shared" si="2"/>
        <v>0</v>
      </c>
      <c r="T9" s="321">
        <f t="shared" si="3"/>
        <v>21400</v>
      </c>
      <c r="U9" s="321">
        <f t="shared" si="4"/>
        <v>0</v>
      </c>
      <c r="V9" s="322">
        <f t="shared" si="5"/>
        <v>0</v>
      </c>
      <c r="W9" s="322">
        <f t="shared" si="9"/>
        <v>0</v>
      </c>
      <c r="X9" s="322">
        <f t="shared" si="9"/>
        <v>0</v>
      </c>
    </row>
    <row r="10" spans="1:24" s="158" customFormat="1" ht="30" customHeight="1">
      <c r="A10" s="215">
        <f t="shared" si="10"/>
        <v>8</v>
      </c>
      <c r="B10" s="222" t="s">
        <v>130</v>
      </c>
      <c r="C10" s="223" t="s">
        <v>133</v>
      </c>
      <c r="D10" s="317">
        <v>77</v>
      </c>
      <c r="E10" s="318">
        <v>77</v>
      </c>
      <c r="F10" s="216"/>
      <c r="G10" s="216"/>
      <c r="H10" s="316" t="s">
        <v>265</v>
      </c>
      <c r="I10" s="243" t="s">
        <v>262</v>
      </c>
      <c r="J10" s="217"/>
      <c r="K10" s="218"/>
      <c r="L10" s="218"/>
      <c r="M10" s="219"/>
      <c r="N10" s="187">
        <v>3</v>
      </c>
      <c r="O10" s="187" t="str">
        <f t="shared" si="7"/>
        <v>사</v>
      </c>
      <c r="P10" s="156" t="str">
        <f t="shared" si="8"/>
        <v>도사</v>
      </c>
      <c r="Q10" s="157"/>
      <c r="R10" s="321">
        <v>21400</v>
      </c>
      <c r="S10" s="321">
        <f t="shared" si="2"/>
        <v>21400</v>
      </c>
      <c r="T10" s="321">
        <f t="shared" si="3"/>
        <v>0</v>
      </c>
      <c r="U10" s="321">
        <f t="shared" si="4"/>
        <v>1647800</v>
      </c>
      <c r="V10" s="322">
        <f t="shared" si="5"/>
        <v>3295600</v>
      </c>
      <c r="W10" s="322">
        <f t="shared" si="9"/>
        <v>4943400</v>
      </c>
      <c r="X10" s="322">
        <f t="shared" si="9"/>
        <v>6591200</v>
      </c>
    </row>
    <row r="11" spans="1:24" s="158" customFormat="1" ht="30" customHeight="1">
      <c r="A11" s="215">
        <f t="shared" si="10"/>
        <v>9</v>
      </c>
      <c r="B11" s="222">
        <v>1920</v>
      </c>
      <c r="C11" s="223" t="s">
        <v>133</v>
      </c>
      <c r="D11" s="317"/>
      <c r="E11" s="318">
        <v>140</v>
      </c>
      <c r="F11" s="216"/>
      <c r="G11" s="216"/>
      <c r="H11" s="316" t="s">
        <v>160</v>
      </c>
      <c r="I11" s="243"/>
      <c r="J11" s="217"/>
      <c r="K11" s="218"/>
      <c r="L11" s="218"/>
      <c r="M11" s="219"/>
      <c r="N11" s="187">
        <v>1</v>
      </c>
      <c r="O11" s="187" t="str">
        <f t="shared" si="7"/>
        <v>국</v>
      </c>
      <c r="P11" s="156" t="str">
        <f t="shared" si="8"/>
        <v>도국</v>
      </c>
      <c r="Q11" s="157"/>
      <c r="R11" s="321">
        <v>37900</v>
      </c>
      <c r="S11" s="321">
        <f t="shared" si="2"/>
        <v>0</v>
      </c>
      <c r="T11" s="321">
        <f t="shared" si="3"/>
        <v>37900</v>
      </c>
      <c r="U11" s="321">
        <f t="shared" si="4"/>
        <v>0</v>
      </c>
      <c r="V11" s="322">
        <f t="shared" si="5"/>
        <v>0</v>
      </c>
      <c r="W11" s="322">
        <f t="shared" si="9"/>
        <v>0</v>
      </c>
      <c r="X11" s="322">
        <f t="shared" si="9"/>
        <v>0</v>
      </c>
    </row>
    <row r="12" spans="1:24" s="158" customFormat="1" ht="30" customHeight="1">
      <c r="A12" s="215">
        <f t="shared" si="10"/>
        <v>10</v>
      </c>
      <c r="B12" s="222" t="s">
        <v>126</v>
      </c>
      <c r="C12" s="223" t="s">
        <v>133</v>
      </c>
      <c r="D12" s="317">
        <v>902</v>
      </c>
      <c r="E12" s="318">
        <v>872</v>
      </c>
      <c r="F12" s="216"/>
      <c r="G12" s="216"/>
      <c r="H12" s="316" t="s">
        <v>260</v>
      </c>
      <c r="I12" s="243" t="s">
        <v>261</v>
      </c>
      <c r="J12" s="217"/>
      <c r="K12" s="218"/>
      <c r="L12" s="218"/>
      <c r="M12" s="219"/>
      <c r="N12" s="187">
        <v>3</v>
      </c>
      <c r="O12" s="187" t="str">
        <f t="shared" si="7"/>
        <v>사</v>
      </c>
      <c r="P12" s="156" t="str">
        <f t="shared" si="8"/>
        <v>도사</v>
      </c>
      <c r="Q12" s="157"/>
      <c r="R12" s="321">
        <v>5510</v>
      </c>
      <c r="S12" s="321">
        <f t="shared" si="2"/>
        <v>5510</v>
      </c>
      <c r="T12" s="321">
        <f t="shared" si="3"/>
        <v>0</v>
      </c>
      <c r="U12" s="321">
        <f t="shared" si="4"/>
        <v>4804720</v>
      </c>
      <c r="V12" s="322">
        <f t="shared" si="5"/>
        <v>9609440</v>
      </c>
      <c r="W12" s="322">
        <f t="shared" si="9"/>
        <v>14414160</v>
      </c>
      <c r="X12" s="322">
        <f t="shared" si="9"/>
        <v>19218880</v>
      </c>
    </row>
    <row r="13" spans="1:24" s="158" customFormat="1" ht="30" customHeight="1">
      <c r="A13" s="215">
        <f t="shared" si="10"/>
        <v>11</v>
      </c>
      <c r="B13" s="222" t="s">
        <v>125</v>
      </c>
      <c r="C13" s="223" t="s">
        <v>133</v>
      </c>
      <c r="D13" s="317">
        <v>34</v>
      </c>
      <c r="E13" s="318">
        <v>6</v>
      </c>
      <c r="F13" s="216"/>
      <c r="G13" s="216"/>
      <c r="H13" s="316" t="s">
        <v>265</v>
      </c>
      <c r="I13" s="243" t="s">
        <v>262</v>
      </c>
      <c r="J13" s="217"/>
      <c r="K13" s="218"/>
      <c r="L13" s="218"/>
      <c r="M13" s="219"/>
      <c r="N13" s="187">
        <v>3</v>
      </c>
      <c r="O13" s="187" t="str">
        <f t="shared" si="7"/>
        <v>사</v>
      </c>
      <c r="P13" s="156" t="str">
        <f t="shared" si="8"/>
        <v>도사</v>
      </c>
      <c r="Q13" s="157"/>
      <c r="R13" s="321">
        <v>21400</v>
      </c>
      <c r="S13" s="321">
        <f t="shared" si="2"/>
        <v>21400</v>
      </c>
      <c r="T13" s="321">
        <f t="shared" si="3"/>
        <v>0</v>
      </c>
      <c r="U13" s="321">
        <f t="shared" si="4"/>
        <v>128400</v>
      </c>
      <c r="V13" s="322">
        <f t="shared" si="5"/>
        <v>256800</v>
      </c>
      <c r="W13" s="322">
        <f t="shared" si="9"/>
        <v>385200</v>
      </c>
      <c r="X13" s="322">
        <f t="shared" si="9"/>
        <v>513600</v>
      </c>
    </row>
    <row r="14" spans="1:24" s="158" customFormat="1" ht="30" customHeight="1">
      <c r="A14" s="215">
        <f t="shared" si="10"/>
        <v>12</v>
      </c>
      <c r="B14" s="222" t="s">
        <v>188</v>
      </c>
      <c r="C14" s="223" t="s">
        <v>132</v>
      </c>
      <c r="D14" s="317">
        <v>11999</v>
      </c>
      <c r="E14" s="318">
        <v>342</v>
      </c>
      <c r="F14" s="216"/>
      <c r="G14" s="216"/>
      <c r="H14" s="316" t="s">
        <v>270</v>
      </c>
      <c r="I14" s="243" t="s">
        <v>269</v>
      </c>
      <c r="J14" s="217"/>
      <c r="K14" s="218"/>
      <c r="L14" s="218"/>
      <c r="M14" s="219"/>
      <c r="N14" s="187">
        <v>3</v>
      </c>
      <c r="O14" s="187" t="str">
        <f t="shared" si="7"/>
        <v>사</v>
      </c>
      <c r="P14" s="156" t="str">
        <f t="shared" si="8"/>
        <v>임사</v>
      </c>
      <c r="Q14" s="157"/>
      <c r="R14" s="321">
        <v>17600</v>
      </c>
      <c r="S14" s="321">
        <f t="shared" si="2"/>
        <v>17600</v>
      </c>
      <c r="T14" s="321">
        <f t="shared" si="3"/>
        <v>0</v>
      </c>
      <c r="U14" s="321">
        <f t="shared" si="4"/>
        <v>6019200</v>
      </c>
      <c r="V14" s="322">
        <f t="shared" si="5"/>
        <v>12038400</v>
      </c>
      <c r="W14" s="322">
        <f t="shared" si="9"/>
        <v>18057600</v>
      </c>
      <c r="X14" s="322">
        <f t="shared" si="9"/>
        <v>24076800</v>
      </c>
    </row>
    <row r="15" spans="1:24" s="158" customFormat="1" ht="30" customHeight="1">
      <c r="A15" s="215">
        <f t="shared" si="10"/>
        <v>13</v>
      </c>
      <c r="B15" s="222" t="s">
        <v>127</v>
      </c>
      <c r="C15" s="223" t="s">
        <v>133</v>
      </c>
      <c r="D15" s="317"/>
      <c r="E15" s="318">
        <v>1580</v>
      </c>
      <c r="F15" s="216"/>
      <c r="G15" s="216"/>
      <c r="H15" s="316" t="s">
        <v>270</v>
      </c>
      <c r="I15" s="243" t="s">
        <v>269</v>
      </c>
      <c r="J15" s="217"/>
      <c r="K15" s="218"/>
      <c r="L15" s="218"/>
      <c r="M15" s="219"/>
      <c r="N15" s="187">
        <v>3</v>
      </c>
      <c r="O15" s="187" t="str">
        <f t="shared" si="7"/>
        <v>사</v>
      </c>
      <c r="P15" s="156" t="str">
        <f t="shared" si="8"/>
        <v>도사</v>
      </c>
      <c r="Q15" s="157"/>
      <c r="R15" s="321">
        <v>5770</v>
      </c>
      <c r="S15" s="321">
        <f t="shared" si="2"/>
        <v>5770</v>
      </c>
      <c r="T15" s="321">
        <f t="shared" si="3"/>
        <v>0</v>
      </c>
      <c r="U15" s="321">
        <f t="shared" si="4"/>
        <v>9116600</v>
      </c>
      <c r="V15" s="322">
        <f t="shared" si="5"/>
        <v>18233200</v>
      </c>
      <c r="W15" s="322">
        <f t="shared" si="9"/>
        <v>27349800</v>
      </c>
      <c r="X15" s="322">
        <f t="shared" si="9"/>
        <v>36466400</v>
      </c>
    </row>
    <row r="16" spans="1:24" s="158" customFormat="1" ht="30" customHeight="1">
      <c r="A16" s="215">
        <f t="shared" si="10"/>
        <v>14</v>
      </c>
      <c r="B16" s="222" t="s">
        <v>190</v>
      </c>
      <c r="C16" s="223" t="s">
        <v>176</v>
      </c>
      <c r="D16" s="317">
        <v>41</v>
      </c>
      <c r="E16" s="318">
        <v>42</v>
      </c>
      <c r="F16" s="216"/>
      <c r="G16" s="216"/>
      <c r="H16" s="316" t="s">
        <v>272</v>
      </c>
      <c r="I16" s="243" t="s">
        <v>273</v>
      </c>
      <c r="J16" s="217"/>
      <c r="K16" s="218"/>
      <c r="L16" s="218"/>
      <c r="M16" s="219"/>
      <c r="N16" s="187">
        <v>3</v>
      </c>
      <c r="O16" s="187" t="str">
        <f t="shared" si="7"/>
        <v>사</v>
      </c>
      <c r="P16" s="156" t="str">
        <f t="shared" si="8"/>
        <v>도사</v>
      </c>
      <c r="Q16" s="157"/>
      <c r="R16" s="321">
        <v>21400</v>
      </c>
      <c r="S16" s="321">
        <f t="shared" si="2"/>
        <v>21400</v>
      </c>
      <c r="T16" s="321">
        <f t="shared" si="3"/>
        <v>0</v>
      </c>
      <c r="U16" s="321">
        <f t="shared" si="4"/>
        <v>898800</v>
      </c>
      <c r="V16" s="322">
        <f t="shared" si="5"/>
        <v>1797600</v>
      </c>
      <c r="W16" s="322">
        <f t="shared" si="9"/>
        <v>2696400</v>
      </c>
      <c r="X16" s="322">
        <f t="shared" si="9"/>
        <v>3595200</v>
      </c>
    </row>
    <row r="17" spans="1:24" s="158" customFormat="1" ht="30" customHeight="1">
      <c r="A17" s="215">
        <f t="shared" si="10"/>
        <v>15</v>
      </c>
      <c r="B17" s="222" t="s">
        <v>191</v>
      </c>
      <c r="C17" s="223" t="s">
        <v>192</v>
      </c>
      <c r="D17" s="317">
        <v>594</v>
      </c>
      <c r="E17" s="318">
        <v>180</v>
      </c>
      <c r="F17" s="216"/>
      <c r="G17" s="216"/>
      <c r="H17" s="316" t="s">
        <v>274</v>
      </c>
      <c r="I17" s="243" t="s">
        <v>276</v>
      </c>
      <c r="J17" s="217"/>
      <c r="K17" s="218"/>
      <c r="L17" s="218"/>
      <c r="M17" s="219"/>
      <c r="N17" s="187">
        <v>3</v>
      </c>
      <c r="O17" s="187" t="str">
        <f t="shared" si="7"/>
        <v>사</v>
      </c>
      <c r="P17" s="156" t="str">
        <f t="shared" si="8"/>
        <v>대사</v>
      </c>
      <c r="Q17" s="157"/>
      <c r="R17" s="321">
        <v>65000</v>
      </c>
      <c r="S17" s="321">
        <f t="shared" si="2"/>
        <v>65000</v>
      </c>
      <c r="T17" s="321">
        <f t="shared" si="3"/>
        <v>0</v>
      </c>
      <c r="U17" s="321">
        <f t="shared" si="4"/>
        <v>11700000</v>
      </c>
      <c r="V17" s="322">
        <f t="shared" si="5"/>
        <v>23400000</v>
      </c>
      <c r="W17" s="322">
        <f t="shared" si="9"/>
        <v>35100000</v>
      </c>
      <c r="X17" s="322">
        <f t="shared" si="9"/>
        <v>46800000</v>
      </c>
    </row>
    <row r="18" spans="1:24" s="158" customFormat="1" ht="30" customHeight="1">
      <c r="A18" s="215">
        <f t="shared" si="10"/>
        <v>16</v>
      </c>
      <c r="B18" s="222" t="s">
        <v>193</v>
      </c>
      <c r="C18" s="223" t="s">
        <v>199</v>
      </c>
      <c r="D18" s="317">
        <v>388</v>
      </c>
      <c r="E18" s="318">
        <v>67</v>
      </c>
      <c r="F18" s="216"/>
      <c r="G18" s="216"/>
      <c r="H18" s="316" t="s">
        <v>279</v>
      </c>
      <c r="I18" s="243" t="s">
        <v>280</v>
      </c>
      <c r="J18" s="217"/>
      <c r="K18" s="218"/>
      <c r="L18" s="218"/>
      <c r="M18" s="219"/>
      <c r="N18" s="187">
        <v>3</v>
      </c>
      <c r="O18" s="187" t="str">
        <f t="shared" si="7"/>
        <v>사</v>
      </c>
      <c r="P18" s="156" t="str">
        <f t="shared" si="8"/>
        <v>전사</v>
      </c>
      <c r="Q18" s="157"/>
      <c r="R18" s="321">
        <v>98100</v>
      </c>
      <c r="S18" s="321">
        <f t="shared" si="2"/>
        <v>98100</v>
      </c>
      <c r="T18" s="321">
        <f t="shared" si="3"/>
        <v>0</v>
      </c>
      <c r="U18" s="321">
        <f t="shared" si="4"/>
        <v>6572700</v>
      </c>
      <c r="V18" s="322">
        <f t="shared" si="5"/>
        <v>13145400</v>
      </c>
      <c r="W18" s="322">
        <f t="shared" si="9"/>
        <v>19718100</v>
      </c>
      <c r="X18" s="322">
        <f t="shared" si="9"/>
        <v>26290800</v>
      </c>
    </row>
    <row r="19" spans="1:24" s="158" customFormat="1" ht="30" customHeight="1">
      <c r="A19" s="215">
        <f t="shared" si="10"/>
        <v>17</v>
      </c>
      <c r="B19" s="311" t="s">
        <v>151</v>
      </c>
      <c r="C19" s="223" t="s">
        <v>152</v>
      </c>
      <c r="D19" s="324">
        <v>106715</v>
      </c>
      <c r="E19" s="318">
        <v>2849</v>
      </c>
      <c r="F19" s="216"/>
      <c r="G19" s="216"/>
      <c r="H19" s="316" t="s">
        <v>247</v>
      </c>
      <c r="I19" s="243" t="s">
        <v>248</v>
      </c>
      <c r="J19" s="217"/>
      <c r="K19" s="218"/>
      <c r="L19" s="218"/>
      <c r="M19" s="219"/>
      <c r="N19" s="187">
        <v>1</v>
      </c>
      <c r="O19" s="187" t="str">
        <f t="shared" si="7"/>
        <v>국</v>
      </c>
      <c r="P19" s="156" t="str">
        <f t="shared" si="8"/>
        <v>천국</v>
      </c>
      <c r="Q19" s="157"/>
      <c r="R19" s="321">
        <v>14800</v>
      </c>
      <c r="S19" s="321">
        <f t="shared" si="2"/>
        <v>0</v>
      </c>
      <c r="T19" s="321">
        <f t="shared" si="3"/>
        <v>14800</v>
      </c>
      <c r="U19" s="321">
        <f t="shared" si="4"/>
        <v>0</v>
      </c>
      <c r="V19" s="322">
        <f t="shared" si="5"/>
        <v>0</v>
      </c>
      <c r="W19" s="322">
        <f t="shared" si="9"/>
        <v>0</v>
      </c>
      <c r="X19" s="322">
        <f t="shared" si="9"/>
        <v>0</v>
      </c>
    </row>
    <row r="20" spans="1:24" s="158" customFormat="1" ht="30" customHeight="1">
      <c r="A20" s="215">
        <f t="shared" si="10"/>
        <v>18</v>
      </c>
      <c r="B20" s="222" t="s">
        <v>194</v>
      </c>
      <c r="C20" s="223" t="s">
        <v>199</v>
      </c>
      <c r="D20" s="317">
        <v>942</v>
      </c>
      <c r="E20" s="318">
        <v>308</v>
      </c>
      <c r="F20" s="216"/>
      <c r="G20" s="216"/>
      <c r="H20" s="316" t="s">
        <v>283</v>
      </c>
      <c r="I20" s="243" t="s">
        <v>284</v>
      </c>
      <c r="J20" s="217"/>
      <c r="K20" s="218"/>
      <c r="L20" s="218"/>
      <c r="M20" s="219"/>
      <c r="N20" s="187">
        <v>3</v>
      </c>
      <c r="O20" s="187" t="str">
        <f t="shared" si="7"/>
        <v>사</v>
      </c>
      <c r="P20" s="156" t="str">
        <f t="shared" si="8"/>
        <v>전사</v>
      </c>
      <c r="Q20" s="157"/>
      <c r="R20" s="321">
        <v>60000</v>
      </c>
      <c r="S20" s="321">
        <f t="shared" si="2"/>
        <v>60000</v>
      </c>
      <c r="T20" s="321">
        <f t="shared" si="3"/>
        <v>0</v>
      </c>
      <c r="U20" s="321">
        <f t="shared" si="4"/>
        <v>18480000</v>
      </c>
      <c r="V20" s="322">
        <f t="shared" si="5"/>
        <v>36960000</v>
      </c>
      <c r="W20" s="322">
        <f t="shared" si="9"/>
        <v>55440000</v>
      </c>
      <c r="X20" s="322">
        <f t="shared" si="9"/>
        <v>73920000</v>
      </c>
    </row>
    <row r="21" spans="1:24" s="158" customFormat="1" ht="30" customHeight="1">
      <c r="A21" s="215">
        <f t="shared" si="10"/>
        <v>19</v>
      </c>
      <c r="B21" s="222" t="s">
        <v>195</v>
      </c>
      <c r="C21" s="223" t="s">
        <v>199</v>
      </c>
      <c r="D21" s="317">
        <v>1436</v>
      </c>
      <c r="E21" s="318">
        <v>26</v>
      </c>
      <c r="F21" s="216"/>
      <c r="G21" s="216"/>
      <c r="H21" s="316" t="s">
        <v>285</v>
      </c>
      <c r="I21" s="243" t="s">
        <v>286</v>
      </c>
      <c r="J21" s="217"/>
      <c r="K21" s="218"/>
      <c r="L21" s="218"/>
      <c r="M21" s="219"/>
      <c r="N21" s="187">
        <v>3</v>
      </c>
      <c r="O21" s="187" t="str">
        <f t="shared" si="7"/>
        <v>사</v>
      </c>
      <c r="P21" s="156" t="str">
        <f t="shared" si="8"/>
        <v>전사</v>
      </c>
      <c r="Q21" s="157"/>
      <c r="R21" s="321">
        <v>74800</v>
      </c>
      <c r="S21" s="321">
        <f t="shared" si="2"/>
        <v>74800</v>
      </c>
      <c r="T21" s="321">
        <f t="shared" si="3"/>
        <v>0</v>
      </c>
      <c r="U21" s="321">
        <f t="shared" si="4"/>
        <v>1944800</v>
      </c>
      <c r="V21" s="322">
        <f t="shared" si="5"/>
        <v>3889600</v>
      </c>
      <c r="W21" s="322">
        <f t="shared" si="9"/>
        <v>5834400</v>
      </c>
      <c r="X21" s="322">
        <f t="shared" si="9"/>
        <v>7779200</v>
      </c>
    </row>
    <row r="22" spans="1:24" s="158" customFormat="1" ht="30" customHeight="1">
      <c r="A22" s="215">
        <f t="shared" si="10"/>
        <v>20</v>
      </c>
      <c r="B22" s="222" t="s">
        <v>196</v>
      </c>
      <c r="C22" s="223" t="s">
        <v>199</v>
      </c>
      <c r="D22" s="317">
        <v>576</v>
      </c>
      <c r="E22" s="318">
        <v>92</v>
      </c>
      <c r="F22" s="216"/>
      <c r="G22" s="216"/>
      <c r="H22" s="316" t="s">
        <v>287</v>
      </c>
      <c r="I22" s="243" t="s">
        <v>288</v>
      </c>
      <c r="J22" s="217"/>
      <c r="K22" s="218"/>
      <c r="L22" s="218"/>
      <c r="M22" s="219"/>
      <c r="N22" s="187">
        <v>3</v>
      </c>
      <c r="O22" s="187" t="str">
        <f t="shared" si="7"/>
        <v>사</v>
      </c>
      <c r="P22" s="156" t="str">
        <f t="shared" si="8"/>
        <v>전사</v>
      </c>
      <c r="Q22" s="157"/>
      <c r="R22" s="321">
        <v>74800</v>
      </c>
      <c r="S22" s="321">
        <f t="shared" si="2"/>
        <v>74800</v>
      </c>
      <c r="T22" s="321">
        <f t="shared" si="3"/>
        <v>0</v>
      </c>
      <c r="U22" s="321">
        <f t="shared" si="4"/>
        <v>6881600</v>
      </c>
      <c r="V22" s="322">
        <f t="shared" si="5"/>
        <v>13763200</v>
      </c>
      <c r="W22" s="322">
        <f t="shared" si="9"/>
        <v>20644800</v>
      </c>
      <c r="X22" s="322">
        <f t="shared" si="9"/>
        <v>27526400</v>
      </c>
    </row>
    <row r="23" spans="1:24" s="158" customFormat="1" ht="30" customHeight="1">
      <c r="A23" s="215">
        <f t="shared" si="10"/>
        <v>21</v>
      </c>
      <c r="B23" s="222">
        <v>844</v>
      </c>
      <c r="C23" s="223" t="s">
        <v>133</v>
      </c>
      <c r="D23" s="317">
        <v>121</v>
      </c>
      <c r="E23" s="318">
        <v>121</v>
      </c>
      <c r="F23" s="216"/>
      <c r="G23" s="216"/>
      <c r="H23" s="316" t="s">
        <v>293</v>
      </c>
      <c r="I23" s="243" t="s">
        <v>292</v>
      </c>
      <c r="J23" s="217"/>
      <c r="K23" s="218"/>
      <c r="L23" s="218"/>
      <c r="M23" s="219"/>
      <c r="N23" s="187">
        <v>3</v>
      </c>
      <c r="O23" s="187" t="str">
        <f t="shared" si="7"/>
        <v>사</v>
      </c>
      <c r="P23" s="156" t="str">
        <f t="shared" si="8"/>
        <v>도사</v>
      </c>
      <c r="Q23" s="157"/>
      <c r="R23" s="321">
        <v>18100</v>
      </c>
      <c r="S23" s="321">
        <f t="shared" si="2"/>
        <v>18100</v>
      </c>
      <c r="T23" s="321">
        <f t="shared" si="3"/>
        <v>0</v>
      </c>
      <c r="U23" s="321">
        <f t="shared" si="4"/>
        <v>2190100</v>
      </c>
      <c r="V23" s="322">
        <f t="shared" si="5"/>
        <v>4380200</v>
      </c>
      <c r="W23" s="322">
        <f t="shared" si="9"/>
        <v>6570300</v>
      </c>
      <c r="X23" s="322">
        <f t="shared" si="9"/>
        <v>8760400</v>
      </c>
    </row>
    <row r="24" spans="1:24" s="158" customFormat="1" ht="30" customHeight="1">
      <c r="A24" s="215">
        <f t="shared" si="10"/>
        <v>22</v>
      </c>
      <c r="B24" s="222">
        <v>846</v>
      </c>
      <c r="C24" s="223" t="s">
        <v>133</v>
      </c>
      <c r="D24" s="317">
        <v>86</v>
      </c>
      <c r="E24" s="318">
        <v>86</v>
      </c>
      <c r="F24" s="216"/>
      <c r="G24" s="216"/>
      <c r="H24" s="316" t="s">
        <v>294</v>
      </c>
      <c r="I24" s="243" t="s">
        <v>295</v>
      </c>
      <c r="J24" s="217"/>
      <c r="K24" s="218"/>
      <c r="L24" s="218"/>
      <c r="M24" s="219"/>
      <c r="N24" s="187">
        <v>3</v>
      </c>
      <c r="O24" s="187" t="str">
        <f t="shared" si="7"/>
        <v>사</v>
      </c>
      <c r="P24" s="156" t="str">
        <f t="shared" si="8"/>
        <v>도사</v>
      </c>
      <c r="Q24" s="157"/>
      <c r="R24" s="321">
        <v>18100</v>
      </c>
      <c r="S24" s="321">
        <f t="shared" si="2"/>
        <v>18100</v>
      </c>
      <c r="T24" s="321">
        <f t="shared" si="3"/>
        <v>0</v>
      </c>
      <c r="U24" s="321">
        <f t="shared" si="4"/>
        <v>1556600</v>
      </c>
      <c r="V24" s="322">
        <f t="shared" si="5"/>
        <v>3113200</v>
      </c>
      <c r="W24" s="322">
        <f t="shared" ref="W24:X39" si="11">ROUND($U24*W$2,0)</f>
        <v>4669800</v>
      </c>
      <c r="X24" s="322">
        <f t="shared" si="11"/>
        <v>6226400</v>
      </c>
    </row>
    <row r="25" spans="1:24" s="158" customFormat="1" ht="30" customHeight="1">
      <c r="A25" s="215">
        <f t="shared" si="10"/>
        <v>23</v>
      </c>
      <c r="B25" s="222" t="s">
        <v>137</v>
      </c>
      <c r="C25" s="223" t="s">
        <v>133</v>
      </c>
      <c r="D25" s="324">
        <v>35</v>
      </c>
      <c r="E25" s="318">
        <v>35</v>
      </c>
      <c r="F25" s="216"/>
      <c r="G25" s="216"/>
      <c r="H25" s="316" t="s">
        <v>205</v>
      </c>
      <c r="I25" s="243"/>
      <c r="J25" s="217"/>
      <c r="K25" s="218"/>
      <c r="L25" s="218"/>
      <c r="M25" s="219"/>
      <c r="N25" s="187">
        <v>2</v>
      </c>
      <c r="O25" s="187" t="str">
        <f t="shared" si="7"/>
        <v>공</v>
      </c>
      <c r="P25" s="156" t="str">
        <f t="shared" si="8"/>
        <v>도공</v>
      </c>
      <c r="Q25" s="157"/>
      <c r="R25" s="321">
        <v>18100</v>
      </c>
      <c r="S25" s="321">
        <f t="shared" si="2"/>
        <v>0</v>
      </c>
      <c r="T25" s="321">
        <f t="shared" si="3"/>
        <v>18100</v>
      </c>
      <c r="U25" s="321">
        <f t="shared" si="4"/>
        <v>0</v>
      </c>
      <c r="V25" s="322">
        <f t="shared" si="5"/>
        <v>0</v>
      </c>
      <c r="W25" s="322">
        <f t="shared" si="11"/>
        <v>0</v>
      </c>
      <c r="X25" s="322">
        <f t="shared" si="11"/>
        <v>0</v>
      </c>
    </row>
    <row r="26" spans="1:24" s="158" customFormat="1" ht="30" customHeight="1">
      <c r="A26" s="215">
        <f t="shared" si="10"/>
        <v>24</v>
      </c>
      <c r="B26" s="222">
        <v>819</v>
      </c>
      <c r="C26" s="223" t="s">
        <v>192</v>
      </c>
      <c r="D26" s="324">
        <v>237</v>
      </c>
      <c r="E26" s="318">
        <v>62</v>
      </c>
      <c r="F26" s="216"/>
      <c r="G26" s="216"/>
      <c r="H26" s="316" t="s">
        <v>227</v>
      </c>
      <c r="I26" s="243" t="s">
        <v>228</v>
      </c>
      <c r="J26" s="217"/>
      <c r="K26" s="218"/>
      <c r="L26" s="218"/>
      <c r="M26" s="219"/>
      <c r="N26" s="187">
        <v>3</v>
      </c>
      <c r="O26" s="187" t="str">
        <f t="shared" si="7"/>
        <v>사</v>
      </c>
      <c r="P26" s="156" t="str">
        <f t="shared" si="8"/>
        <v>대사</v>
      </c>
      <c r="Q26" s="157"/>
      <c r="R26" s="321">
        <v>131400</v>
      </c>
      <c r="S26" s="321">
        <f t="shared" si="2"/>
        <v>131400</v>
      </c>
      <c r="T26" s="321">
        <f t="shared" si="3"/>
        <v>0</v>
      </c>
      <c r="U26" s="321">
        <f t="shared" si="4"/>
        <v>8146800</v>
      </c>
      <c r="V26" s="322">
        <f t="shared" si="5"/>
        <v>16293600</v>
      </c>
      <c r="W26" s="322">
        <f t="shared" si="11"/>
        <v>24440400</v>
      </c>
      <c r="X26" s="322">
        <f t="shared" si="11"/>
        <v>32587200</v>
      </c>
    </row>
    <row r="27" spans="1:24" s="158" customFormat="1" ht="30" customHeight="1">
      <c r="A27" s="215">
        <f t="shared" si="10"/>
        <v>25</v>
      </c>
      <c r="B27" s="222" t="s">
        <v>200</v>
      </c>
      <c r="C27" s="223" t="s">
        <v>199</v>
      </c>
      <c r="D27" s="324">
        <v>740</v>
      </c>
      <c r="E27" s="318">
        <v>139</v>
      </c>
      <c r="F27" s="216"/>
      <c r="G27" s="216"/>
      <c r="H27" s="316" t="s">
        <v>229</v>
      </c>
      <c r="I27" s="243" t="s">
        <v>230</v>
      </c>
      <c r="J27" s="217"/>
      <c r="K27" s="218"/>
      <c r="L27" s="218"/>
      <c r="M27" s="219"/>
      <c r="N27" s="187">
        <v>3</v>
      </c>
      <c r="O27" s="187" t="str">
        <f t="shared" si="7"/>
        <v>사</v>
      </c>
      <c r="P27" s="156" t="str">
        <f t="shared" si="8"/>
        <v>전사</v>
      </c>
      <c r="Q27" s="157"/>
      <c r="R27" s="321">
        <v>76500</v>
      </c>
      <c r="S27" s="321">
        <f t="shared" si="2"/>
        <v>76500</v>
      </c>
      <c r="T27" s="321">
        <f t="shared" si="3"/>
        <v>0</v>
      </c>
      <c r="U27" s="321">
        <f t="shared" si="4"/>
        <v>10633500</v>
      </c>
      <c r="V27" s="322">
        <f t="shared" si="5"/>
        <v>21267000</v>
      </c>
      <c r="W27" s="322">
        <f t="shared" si="11"/>
        <v>31900500</v>
      </c>
      <c r="X27" s="322">
        <f t="shared" si="11"/>
        <v>42534000</v>
      </c>
    </row>
    <row r="28" spans="1:24" s="158" customFormat="1" ht="30" customHeight="1">
      <c r="A28" s="215">
        <f t="shared" si="10"/>
        <v>26</v>
      </c>
      <c r="B28" s="222">
        <v>820</v>
      </c>
      <c r="C28" s="223" t="s">
        <v>131</v>
      </c>
      <c r="D28" s="324">
        <v>207</v>
      </c>
      <c r="E28" s="318">
        <v>207</v>
      </c>
      <c r="F28" s="216"/>
      <c r="G28" s="216"/>
      <c r="H28" s="316" t="s">
        <v>231</v>
      </c>
      <c r="I28" s="243" t="s">
        <v>232</v>
      </c>
      <c r="J28" s="217"/>
      <c r="K28" s="218"/>
      <c r="L28" s="218"/>
      <c r="M28" s="219"/>
      <c r="N28" s="187">
        <v>3</v>
      </c>
      <c r="O28" s="187" t="str">
        <f t="shared" si="7"/>
        <v>사</v>
      </c>
      <c r="P28" s="156" t="str">
        <f t="shared" si="8"/>
        <v>답사</v>
      </c>
      <c r="Q28" s="157"/>
      <c r="R28" s="321">
        <v>66100</v>
      </c>
      <c r="S28" s="321">
        <f t="shared" si="2"/>
        <v>66100</v>
      </c>
      <c r="T28" s="321">
        <f t="shared" si="3"/>
        <v>0</v>
      </c>
      <c r="U28" s="321">
        <f t="shared" si="4"/>
        <v>13682700</v>
      </c>
      <c r="V28" s="322">
        <f t="shared" si="5"/>
        <v>27365400</v>
      </c>
      <c r="W28" s="322">
        <f t="shared" si="11"/>
        <v>41048100</v>
      </c>
      <c r="X28" s="322">
        <f t="shared" si="11"/>
        <v>54730800</v>
      </c>
    </row>
    <row r="29" spans="1:24" s="158" customFormat="1" ht="30" customHeight="1">
      <c r="A29" s="215">
        <f t="shared" si="10"/>
        <v>27</v>
      </c>
      <c r="B29" s="222" t="s">
        <v>202</v>
      </c>
      <c r="C29" s="223" t="s">
        <v>131</v>
      </c>
      <c r="D29" s="324">
        <v>340</v>
      </c>
      <c r="E29" s="318">
        <v>194</v>
      </c>
      <c r="F29" s="216"/>
      <c r="G29" s="216"/>
      <c r="H29" s="316" t="s">
        <v>234</v>
      </c>
      <c r="I29" s="243" t="s">
        <v>235</v>
      </c>
      <c r="J29" s="217"/>
      <c r="K29" s="218"/>
      <c r="L29" s="218"/>
      <c r="M29" s="219"/>
      <c r="N29" s="187">
        <v>3</v>
      </c>
      <c r="O29" s="187" t="str">
        <f t="shared" si="7"/>
        <v>사</v>
      </c>
      <c r="P29" s="156" t="str">
        <f t="shared" si="8"/>
        <v>답사</v>
      </c>
      <c r="Q29" s="157"/>
      <c r="R29" s="321">
        <v>78900</v>
      </c>
      <c r="S29" s="321">
        <f t="shared" si="2"/>
        <v>78900</v>
      </c>
      <c r="T29" s="321">
        <f t="shared" si="3"/>
        <v>0</v>
      </c>
      <c r="U29" s="321">
        <f t="shared" si="4"/>
        <v>15306600</v>
      </c>
      <c r="V29" s="322">
        <f t="shared" si="5"/>
        <v>30613200</v>
      </c>
      <c r="W29" s="322">
        <f t="shared" si="11"/>
        <v>45919800</v>
      </c>
      <c r="X29" s="322">
        <f t="shared" si="11"/>
        <v>61226400</v>
      </c>
    </row>
    <row r="30" spans="1:24" s="158" customFormat="1" ht="30" customHeight="1">
      <c r="A30" s="215">
        <f t="shared" si="10"/>
        <v>28</v>
      </c>
      <c r="B30" s="222" t="s">
        <v>140</v>
      </c>
      <c r="C30" s="223" t="s">
        <v>131</v>
      </c>
      <c r="D30" s="324">
        <v>190</v>
      </c>
      <c r="E30" s="318">
        <v>162</v>
      </c>
      <c r="F30" s="216"/>
      <c r="G30" s="216"/>
      <c r="H30" s="316" t="s">
        <v>234</v>
      </c>
      <c r="I30" s="243" t="s">
        <v>235</v>
      </c>
      <c r="J30" s="217"/>
      <c r="K30" s="218"/>
      <c r="L30" s="218"/>
      <c r="M30" s="219"/>
      <c r="N30" s="187">
        <v>3</v>
      </c>
      <c r="O30" s="187" t="str">
        <f t="shared" si="7"/>
        <v>사</v>
      </c>
      <c r="P30" s="156" t="str">
        <f t="shared" si="8"/>
        <v>답사</v>
      </c>
      <c r="Q30" s="157"/>
      <c r="R30" s="321">
        <v>74200</v>
      </c>
      <c r="S30" s="321">
        <f t="shared" si="2"/>
        <v>74200</v>
      </c>
      <c r="T30" s="321">
        <f t="shared" si="3"/>
        <v>0</v>
      </c>
      <c r="U30" s="321">
        <f t="shared" si="4"/>
        <v>12020400</v>
      </c>
      <c r="V30" s="322">
        <f t="shared" si="5"/>
        <v>24040800</v>
      </c>
      <c r="W30" s="322">
        <f t="shared" si="11"/>
        <v>36061200</v>
      </c>
      <c r="X30" s="322">
        <f t="shared" si="11"/>
        <v>48081600</v>
      </c>
    </row>
    <row r="31" spans="1:24" s="158" customFormat="1" ht="30" customHeight="1">
      <c r="A31" s="215">
        <f t="shared" si="10"/>
        <v>29</v>
      </c>
      <c r="B31" s="222" t="s">
        <v>141</v>
      </c>
      <c r="C31" s="223" t="s">
        <v>131</v>
      </c>
      <c r="D31" s="324">
        <v>312</v>
      </c>
      <c r="E31" s="318">
        <v>103</v>
      </c>
      <c r="F31" s="216"/>
      <c r="G31" s="216"/>
      <c r="H31" s="316" t="s">
        <v>238</v>
      </c>
      <c r="I31" s="243" t="s">
        <v>239</v>
      </c>
      <c r="J31" s="217"/>
      <c r="K31" s="218"/>
      <c r="L31" s="218"/>
      <c r="M31" s="219"/>
      <c r="N31" s="187">
        <v>3</v>
      </c>
      <c r="O31" s="187" t="str">
        <f t="shared" si="7"/>
        <v>사</v>
      </c>
      <c r="P31" s="156" t="str">
        <f t="shared" si="8"/>
        <v>답사</v>
      </c>
      <c r="Q31" s="157"/>
      <c r="R31" s="321">
        <v>117900</v>
      </c>
      <c r="S31" s="321">
        <f t="shared" si="2"/>
        <v>117900</v>
      </c>
      <c r="T31" s="321">
        <f t="shared" si="3"/>
        <v>0</v>
      </c>
      <c r="U31" s="321">
        <f t="shared" si="4"/>
        <v>12143700</v>
      </c>
      <c r="V31" s="322">
        <f t="shared" si="5"/>
        <v>24287400</v>
      </c>
      <c r="W31" s="322">
        <f t="shared" si="11"/>
        <v>36431100</v>
      </c>
      <c r="X31" s="322">
        <f t="shared" si="11"/>
        <v>48574800</v>
      </c>
    </row>
    <row r="32" spans="1:24" s="158" customFormat="1" ht="30" customHeight="1">
      <c r="A32" s="215">
        <f t="shared" si="10"/>
        <v>30</v>
      </c>
      <c r="B32" s="222" t="s">
        <v>203</v>
      </c>
      <c r="C32" s="223" t="s">
        <v>131</v>
      </c>
      <c r="D32" s="324">
        <v>857</v>
      </c>
      <c r="E32" s="318">
        <v>358</v>
      </c>
      <c r="F32" s="216"/>
      <c r="G32" s="216"/>
      <c r="H32" s="316" t="s">
        <v>238</v>
      </c>
      <c r="I32" s="243" t="s">
        <v>239</v>
      </c>
      <c r="J32" s="217"/>
      <c r="K32" s="218"/>
      <c r="L32" s="218"/>
      <c r="M32" s="219"/>
      <c r="N32" s="187">
        <v>3</v>
      </c>
      <c r="O32" s="187" t="str">
        <f t="shared" si="7"/>
        <v>사</v>
      </c>
      <c r="P32" s="156" t="str">
        <f t="shared" si="8"/>
        <v>답사</v>
      </c>
      <c r="Q32" s="157"/>
      <c r="R32" s="321">
        <v>83400</v>
      </c>
      <c r="S32" s="321">
        <f t="shared" si="2"/>
        <v>83400</v>
      </c>
      <c r="T32" s="321">
        <f t="shared" si="3"/>
        <v>0</v>
      </c>
      <c r="U32" s="321">
        <f t="shared" si="4"/>
        <v>29857200</v>
      </c>
      <c r="V32" s="322">
        <f t="shared" si="5"/>
        <v>59714400</v>
      </c>
      <c r="W32" s="322">
        <f t="shared" si="11"/>
        <v>89571600</v>
      </c>
      <c r="X32" s="322">
        <f t="shared" si="11"/>
        <v>119428800</v>
      </c>
    </row>
    <row r="33" spans="1:24" s="158" customFormat="1" ht="30" customHeight="1">
      <c r="A33" s="215">
        <f t="shared" si="10"/>
        <v>31</v>
      </c>
      <c r="B33" s="222">
        <v>787</v>
      </c>
      <c r="C33" s="223" t="s">
        <v>131</v>
      </c>
      <c r="D33" s="324">
        <v>1883</v>
      </c>
      <c r="E33" s="318">
        <v>779</v>
      </c>
      <c r="F33" s="216"/>
      <c r="G33" s="216"/>
      <c r="H33" s="316" t="s">
        <v>240</v>
      </c>
      <c r="I33" s="243" t="s">
        <v>241</v>
      </c>
      <c r="J33" s="217"/>
      <c r="K33" s="218"/>
      <c r="L33" s="218"/>
      <c r="M33" s="219"/>
      <c r="N33" s="187">
        <v>3</v>
      </c>
      <c r="O33" s="187" t="str">
        <f t="shared" si="7"/>
        <v>사</v>
      </c>
      <c r="P33" s="156" t="str">
        <f t="shared" si="8"/>
        <v>답사</v>
      </c>
      <c r="Q33" s="157"/>
      <c r="R33" s="321">
        <v>84000</v>
      </c>
      <c r="S33" s="321">
        <f t="shared" si="2"/>
        <v>84000</v>
      </c>
      <c r="T33" s="321">
        <f t="shared" si="3"/>
        <v>0</v>
      </c>
      <c r="U33" s="321">
        <f t="shared" si="4"/>
        <v>65436000</v>
      </c>
      <c r="V33" s="322">
        <f t="shared" si="5"/>
        <v>130872000</v>
      </c>
      <c r="W33" s="322">
        <f t="shared" si="11"/>
        <v>196308000</v>
      </c>
      <c r="X33" s="322">
        <f t="shared" si="11"/>
        <v>261744000</v>
      </c>
    </row>
    <row r="34" spans="1:24" s="158" customFormat="1" ht="30" customHeight="1">
      <c r="A34" s="215">
        <f t="shared" si="10"/>
        <v>32</v>
      </c>
      <c r="B34" s="222" t="s">
        <v>146</v>
      </c>
      <c r="C34" s="223" t="s">
        <v>134</v>
      </c>
      <c r="D34" s="324">
        <v>304</v>
      </c>
      <c r="E34" s="318">
        <v>48</v>
      </c>
      <c r="F34" s="216"/>
      <c r="G34" s="216"/>
      <c r="H34" s="316" t="s">
        <v>243</v>
      </c>
      <c r="I34" s="243" t="s">
        <v>244</v>
      </c>
      <c r="J34" s="217"/>
      <c r="K34" s="218"/>
      <c r="L34" s="218"/>
      <c r="M34" s="219"/>
      <c r="N34" s="187">
        <v>3</v>
      </c>
      <c r="O34" s="187" t="str">
        <f t="shared" si="7"/>
        <v>사</v>
      </c>
      <c r="P34" s="156" t="str">
        <f t="shared" si="8"/>
        <v>대사</v>
      </c>
      <c r="Q34" s="157"/>
      <c r="R34" s="321">
        <v>213400</v>
      </c>
      <c r="S34" s="321">
        <f t="shared" si="2"/>
        <v>213400</v>
      </c>
      <c r="T34" s="321">
        <f t="shared" si="3"/>
        <v>0</v>
      </c>
      <c r="U34" s="321">
        <f t="shared" si="4"/>
        <v>10243200</v>
      </c>
      <c r="V34" s="322">
        <f t="shared" si="5"/>
        <v>20486400</v>
      </c>
      <c r="W34" s="322">
        <f t="shared" si="11"/>
        <v>30729600</v>
      </c>
      <c r="X34" s="322">
        <f t="shared" si="11"/>
        <v>40972800</v>
      </c>
    </row>
    <row r="35" spans="1:24" s="158" customFormat="1" ht="30" customHeight="1">
      <c r="A35" s="215">
        <f t="shared" si="10"/>
        <v>33</v>
      </c>
      <c r="B35" s="222" t="s">
        <v>144</v>
      </c>
      <c r="C35" s="223" t="s">
        <v>133</v>
      </c>
      <c r="D35" s="324">
        <v>1876</v>
      </c>
      <c r="E35" s="318">
        <v>253</v>
      </c>
      <c r="F35" s="216"/>
      <c r="G35" s="216"/>
      <c r="H35" s="316" t="s">
        <v>247</v>
      </c>
      <c r="I35" s="243" t="s">
        <v>248</v>
      </c>
      <c r="J35" s="217"/>
      <c r="K35" s="218"/>
      <c r="L35" s="218"/>
      <c r="M35" s="219"/>
      <c r="N35" s="187">
        <v>1</v>
      </c>
      <c r="O35" s="187" t="str">
        <f t="shared" si="7"/>
        <v>국</v>
      </c>
      <c r="P35" s="156" t="str">
        <f t="shared" si="8"/>
        <v>도국</v>
      </c>
      <c r="Q35" s="157"/>
      <c r="R35" s="321">
        <v>70900</v>
      </c>
      <c r="S35" s="321">
        <f t="shared" si="2"/>
        <v>0</v>
      </c>
      <c r="T35" s="321">
        <f t="shared" si="3"/>
        <v>70900</v>
      </c>
      <c r="U35" s="321">
        <f t="shared" si="4"/>
        <v>0</v>
      </c>
      <c r="V35" s="322">
        <f t="shared" si="5"/>
        <v>0</v>
      </c>
      <c r="W35" s="322">
        <f t="shared" si="11"/>
        <v>0</v>
      </c>
      <c r="X35" s="322">
        <f t="shared" si="11"/>
        <v>0</v>
      </c>
    </row>
    <row r="36" spans="1:24" s="158" customFormat="1" ht="30" customHeight="1">
      <c r="A36" s="215">
        <f t="shared" si="10"/>
        <v>34</v>
      </c>
      <c r="B36" s="222" t="s">
        <v>148</v>
      </c>
      <c r="C36" s="223" t="s">
        <v>131</v>
      </c>
      <c r="D36" s="324">
        <v>940</v>
      </c>
      <c r="E36" s="318">
        <v>362</v>
      </c>
      <c r="F36" s="216"/>
      <c r="G36" s="216"/>
      <c r="H36" s="316" t="s">
        <v>245</v>
      </c>
      <c r="I36" s="243" t="s">
        <v>246</v>
      </c>
      <c r="J36" s="217"/>
      <c r="K36" s="218"/>
      <c r="L36" s="218"/>
      <c r="M36" s="219"/>
      <c r="N36" s="187">
        <v>3</v>
      </c>
      <c r="O36" s="187" t="str">
        <f t="shared" si="7"/>
        <v>사</v>
      </c>
      <c r="P36" s="156" t="str">
        <f t="shared" si="8"/>
        <v>답사</v>
      </c>
      <c r="Q36" s="157"/>
      <c r="R36" s="321">
        <v>111600</v>
      </c>
      <c r="S36" s="321">
        <f t="shared" si="2"/>
        <v>111600</v>
      </c>
      <c r="T36" s="321">
        <f t="shared" si="3"/>
        <v>0</v>
      </c>
      <c r="U36" s="321">
        <f t="shared" si="4"/>
        <v>40399200</v>
      </c>
      <c r="V36" s="322">
        <f t="shared" si="5"/>
        <v>80798400</v>
      </c>
      <c r="W36" s="322">
        <f t="shared" si="11"/>
        <v>121197600</v>
      </c>
      <c r="X36" s="322">
        <f t="shared" si="11"/>
        <v>161596800</v>
      </c>
    </row>
    <row r="37" spans="1:24" s="158" customFormat="1" ht="30" customHeight="1">
      <c r="A37" s="215">
        <f t="shared" si="10"/>
        <v>35</v>
      </c>
      <c r="B37" s="222" t="s">
        <v>150</v>
      </c>
      <c r="C37" s="223" t="s">
        <v>133</v>
      </c>
      <c r="D37" s="324">
        <v>598</v>
      </c>
      <c r="E37" s="318">
        <v>96</v>
      </c>
      <c r="F37" s="216"/>
      <c r="G37" s="216"/>
      <c r="H37" s="316" t="s">
        <v>247</v>
      </c>
      <c r="I37" s="243" t="s">
        <v>248</v>
      </c>
      <c r="J37" s="217"/>
      <c r="K37" s="218"/>
      <c r="L37" s="218"/>
      <c r="M37" s="219"/>
      <c r="N37" s="187">
        <v>1</v>
      </c>
      <c r="O37" s="187" t="str">
        <f t="shared" si="7"/>
        <v>국</v>
      </c>
      <c r="P37" s="156" t="str">
        <f t="shared" si="8"/>
        <v>도국</v>
      </c>
      <c r="Q37" s="157"/>
      <c r="R37" s="321">
        <v>25200</v>
      </c>
      <c r="S37" s="321">
        <f t="shared" si="2"/>
        <v>0</v>
      </c>
      <c r="T37" s="321">
        <f t="shared" si="3"/>
        <v>25200</v>
      </c>
      <c r="U37" s="321">
        <f t="shared" si="4"/>
        <v>0</v>
      </c>
      <c r="V37" s="322">
        <f t="shared" si="5"/>
        <v>0</v>
      </c>
      <c r="W37" s="322">
        <f t="shared" si="11"/>
        <v>0</v>
      </c>
      <c r="X37" s="322">
        <f t="shared" si="11"/>
        <v>0</v>
      </c>
    </row>
    <row r="38" spans="1:24" s="158" customFormat="1" ht="30" customHeight="1">
      <c r="A38" s="215">
        <f t="shared" si="10"/>
        <v>36</v>
      </c>
      <c r="B38" s="222" t="s">
        <v>117</v>
      </c>
      <c r="C38" s="223" t="s">
        <v>131</v>
      </c>
      <c r="D38" s="317"/>
      <c r="E38" s="318">
        <v>291</v>
      </c>
      <c r="F38" s="216"/>
      <c r="G38" s="216"/>
      <c r="H38" s="225" t="s">
        <v>153</v>
      </c>
      <c r="I38" s="243"/>
      <c r="J38" s="217"/>
      <c r="K38" s="218"/>
      <c r="L38" s="218"/>
      <c r="M38" s="219"/>
      <c r="N38" s="187">
        <v>2</v>
      </c>
      <c r="O38" s="187" t="str">
        <f t="shared" ref="O38" si="12">IF(N38=1,"국",IF(N38=2,"공","사"))</f>
        <v>공</v>
      </c>
      <c r="P38" s="156" t="str">
        <f t="shared" ref="P38" si="13">CONCATENATE(C38,O38)</f>
        <v>답공</v>
      </c>
      <c r="Q38" s="157"/>
      <c r="R38" s="321">
        <v>60200</v>
      </c>
      <c r="S38" s="321">
        <f t="shared" si="2"/>
        <v>0</v>
      </c>
      <c r="T38" s="321">
        <f t="shared" si="3"/>
        <v>60200</v>
      </c>
      <c r="U38" s="321">
        <f t="shared" si="4"/>
        <v>0</v>
      </c>
      <c r="V38" s="322">
        <f t="shared" si="5"/>
        <v>0</v>
      </c>
      <c r="W38" s="322">
        <f t="shared" si="11"/>
        <v>0</v>
      </c>
      <c r="X38" s="322">
        <f t="shared" si="11"/>
        <v>0</v>
      </c>
    </row>
    <row r="39" spans="1:24" s="158" customFormat="1" ht="30" customHeight="1">
      <c r="A39" s="215">
        <f t="shared" si="10"/>
        <v>37</v>
      </c>
      <c r="B39" s="222" t="s">
        <v>118</v>
      </c>
      <c r="C39" s="223" t="s">
        <v>132</v>
      </c>
      <c r="D39" s="317"/>
      <c r="E39" s="318">
        <v>275</v>
      </c>
      <c r="F39" s="216"/>
      <c r="G39" s="216"/>
      <c r="H39" s="316" t="s">
        <v>153</v>
      </c>
      <c r="I39" s="243"/>
      <c r="J39" s="217"/>
      <c r="K39" s="218"/>
      <c r="L39" s="218"/>
      <c r="M39" s="219"/>
      <c r="N39" s="187">
        <v>2</v>
      </c>
      <c r="O39" s="187" t="str">
        <f>IF(N39=1,"국",IF(N39=2,"공","사"))</f>
        <v>공</v>
      </c>
      <c r="P39" s="156" t="str">
        <f>CONCATENATE(C39,O39)</f>
        <v>임공</v>
      </c>
      <c r="Q39" s="157"/>
      <c r="R39" s="321">
        <v>7220</v>
      </c>
      <c r="S39" s="321">
        <f t="shared" si="2"/>
        <v>0</v>
      </c>
      <c r="T39" s="321">
        <f t="shared" si="3"/>
        <v>7220</v>
      </c>
      <c r="U39" s="321">
        <f t="shared" si="4"/>
        <v>0</v>
      </c>
      <c r="V39" s="322">
        <f t="shared" si="5"/>
        <v>0</v>
      </c>
      <c r="W39" s="322">
        <f t="shared" si="11"/>
        <v>0</v>
      </c>
      <c r="X39" s="322">
        <f t="shared" si="11"/>
        <v>0</v>
      </c>
    </row>
    <row r="40" spans="1:24" s="158" customFormat="1" ht="30" customHeight="1">
      <c r="A40" s="215">
        <f t="shared" si="10"/>
        <v>38</v>
      </c>
      <c r="B40" s="222" t="s">
        <v>304</v>
      </c>
      <c r="C40" s="223" t="s">
        <v>132</v>
      </c>
      <c r="D40" s="324">
        <v>992</v>
      </c>
      <c r="E40" s="325"/>
      <c r="F40" s="216"/>
      <c r="G40" s="216"/>
      <c r="H40" s="316" t="s">
        <v>313</v>
      </c>
      <c r="I40" s="243" t="s">
        <v>314</v>
      </c>
      <c r="J40" s="217"/>
      <c r="K40" s="218"/>
      <c r="L40" s="218"/>
      <c r="M40" s="219"/>
      <c r="N40" s="187"/>
      <c r="O40" s="187"/>
      <c r="P40" s="156"/>
      <c r="Q40" s="157"/>
      <c r="R40" s="321"/>
      <c r="S40" s="321"/>
      <c r="T40" s="321"/>
      <c r="U40" s="321"/>
      <c r="V40" s="322"/>
      <c r="W40" s="322"/>
      <c r="X40" s="322"/>
    </row>
    <row r="41" spans="1:24" s="158" customFormat="1" ht="30" customHeight="1">
      <c r="A41" s="215">
        <f t="shared" si="10"/>
        <v>39</v>
      </c>
      <c r="B41" s="222" t="s">
        <v>119</v>
      </c>
      <c r="C41" s="223" t="s">
        <v>132</v>
      </c>
      <c r="D41" s="317">
        <v>771</v>
      </c>
      <c r="E41" s="318">
        <v>289</v>
      </c>
      <c r="F41" s="216"/>
      <c r="G41" s="216"/>
      <c r="H41" s="225" t="s">
        <v>256</v>
      </c>
      <c r="I41" s="243" t="s">
        <v>257</v>
      </c>
      <c r="J41" s="217"/>
      <c r="K41" s="218"/>
      <c r="L41" s="218"/>
      <c r="M41" s="219"/>
      <c r="N41" s="187">
        <v>3</v>
      </c>
      <c r="O41" s="187" t="str">
        <f>IF(N41=1,"국",IF(N41=2,"공","사"))</f>
        <v>사</v>
      </c>
      <c r="P41" s="156" t="str">
        <f>CONCATENATE(C41,O41)</f>
        <v>임사</v>
      </c>
      <c r="Q41" s="157"/>
      <c r="R41" s="321">
        <v>8040</v>
      </c>
      <c r="S41" s="321">
        <f t="shared" ref="S41:S43" si="14">IF(N41=3,R41,)</f>
        <v>8040</v>
      </c>
      <c r="T41" s="321">
        <f t="shared" ref="T41:T43" si="15">IF(OR(N41=1,N41=2),R41,)</f>
        <v>0</v>
      </c>
      <c r="U41" s="321">
        <f t="shared" ref="U41:U43" si="16">S41*E41</f>
        <v>2323560</v>
      </c>
      <c r="V41" s="322">
        <f t="shared" ref="V41:X50" si="17">ROUND($U41*V$2,0)</f>
        <v>4647120</v>
      </c>
      <c r="W41" s="322">
        <f t="shared" si="17"/>
        <v>6970680</v>
      </c>
      <c r="X41" s="322">
        <f t="shared" si="17"/>
        <v>9294240</v>
      </c>
    </row>
    <row r="42" spans="1:24" s="158" customFormat="1" ht="30" customHeight="1">
      <c r="A42" s="215">
        <f t="shared" si="10"/>
        <v>40</v>
      </c>
      <c r="B42" s="222" t="s">
        <v>120</v>
      </c>
      <c r="C42" s="223" t="s">
        <v>132</v>
      </c>
      <c r="D42" s="317">
        <v>771</v>
      </c>
      <c r="E42" s="318">
        <v>206</v>
      </c>
      <c r="F42" s="216"/>
      <c r="G42" s="216"/>
      <c r="H42" s="225" t="s">
        <v>258</v>
      </c>
      <c r="I42" s="243" t="s">
        <v>259</v>
      </c>
      <c r="J42" s="217"/>
      <c r="K42" s="218"/>
      <c r="L42" s="218"/>
      <c r="M42" s="219"/>
      <c r="N42" s="187">
        <v>3</v>
      </c>
      <c r="O42" s="187" t="str">
        <f>IF(N42=1,"국",IF(N42=2,"공","사"))</f>
        <v>사</v>
      </c>
      <c r="P42" s="156" t="str">
        <f>CONCATENATE(C42,O42)</f>
        <v>임사</v>
      </c>
      <c r="Q42" s="157"/>
      <c r="R42" s="321">
        <v>8040</v>
      </c>
      <c r="S42" s="321">
        <f t="shared" si="14"/>
        <v>8040</v>
      </c>
      <c r="T42" s="321">
        <f t="shared" si="15"/>
        <v>0</v>
      </c>
      <c r="U42" s="321">
        <f t="shared" si="16"/>
        <v>1656240</v>
      </c>
      <c r="V42" s="322">
        <f t="shared" si="17"/>
        <v>3312480</v>
      </c>
      <c r="W42" s="322">
        <f t="shared" si="17"/>
        <v>4968720</v>
      </c>
      <c r="X42" s="322">
        <f t="shared" si="17"/>
        <v>6624960</v>
      </c>
    </row>
    <row r="43" spans="1:24" s="158" customFormat="1" ht="30" customHeight="1">
      <c r="A43" s="215">
        <f t="shared" si="10"/>
        <v>41</v>
      </c>
      <c r="B43" s="222" t="s">
        <v>121</v>
      </c>
      <c r="C43" s="223" t="s">
        <v>131</v>
      </c>
      <c r="D43" s="317"/>
      <c r="E43" s="318">
        <v>287</v>
      </c>
      <c r="F43" s="216"/>
      <c r="G43" s="216"/>
      <c r="H43" s="316" t="s">
        <v>153</v>
      </c>
      <c r="I43" s="243"/>
      <c r="J43" s="217"/>
      <c r="K43" s="218"/>
      <c r="L43" s="218"/>
      <c r="M43" s="219"/>
      <c r="N43" s="187">
        <v>2</v>
      </c>
      <c r="O43" s="187" t="str">
        <f>IF(N43=1,"국",IF(N43=2,"공","사"))</f>
        <v>공</v>
      </c>
      <c r="P43" s="156" t="str">
        <f>CONCATENATE(C43,O43)</f>
        <v>답공</v>
      </c>
      <c r="Q43" s="157"/>
      <c r="R43" s="321">
        <v>63500</v>
      </c>
      <c r="S43" s="321">
        <f t="shared" si="14"/>
        <v>0</v>
      </c>
      <c r="T43" s="321">
        <f t="shared" si="15"/>
        <v>63500</v>
      </c>
      <c r="U43" s="321">
        <f t="shared" si="16"/>
        <v>0</v>
      </c>
      <c r="V43" s="322">
        <f t="shared" si="17"/>
        <v>0</v>
      </c>
      <c r="W43" s="322">
        <f t="shared" si="17"/>
        <v>0</v>
      </c>
      <c r="X43" s="322">
        <f t="shared" si="17"/>
        <v>0</v>
      </c>
    </row>
    <row r="44" spans="1:24" s="158" customFormat="1" ht="30" customHeight="1">
      <c r="A44" s="215">
        <f t="shared" si="10"/>
        <v>42</v>
      </c>
      <c r="B44" s="222">
        <v>833</v>
      </c>
      <c r="C44" s="223" t="s">
        <v>133</v>
      </c>
      <c r="D44" s="317"/>
      <c r="E44" s="318">
        <v>196</v>
      </c>
      <c r="F44" s="216"/>
      <c r="G44" s="216"/>
      <c r="H44" s="316" t="s">
        <v>153</v>
      </c>
      <c r="I44" s="243"/>
      <c r="J44" s="217"/>
      <c r="K44" s="218"/>
      <c r="L44" s="218"/>
      <c r="M44" s="219"/>
      <c r="N44" s="187">
        <v>2</v>
      </c>
      <c r="O44" s="187" t="str">
        <f>IF(N44=1,"국",IF(N44=2,"공","사"))</f>
        <v>공</v>
      </c>
      <c r="P44" s="156" t="str">
        <f>CONCATENATE(C44,O44)</f>
        <v>도공</v>
      </c>
      <c r="Q44" s="157"/>
      <c r="R44" s="321">
        <v>16500</v>
      </c>
      <c r="S44" s="321">
        <f>IF(N44=3,R44,)</f>
        <v>0</v>
      </c>
      <c r="T44" s="321">
        <f>IF(OR(N44=1,N44=2),R44,)</f>
        <v>16500</v>
      </c>
      <c r="U44" s="321">
        <f>S44*E44</f>
        <v>0</v>
      </c>
      <c r="V44" s="322">
        <f t="shared" si="17"/>
        <v>0</v>
      </c>
      <c r="W44" s="322">
        <f t="shared" si="17"/>
        <v>0</v>
      </c>
      <c r="X44" s="322">
        <f t="shared" si="17"/>
        <v>0</v>
      </c>
    </row>
    <row r="45" spans="1:24" s="158" customFormat="1" ht="30" customHeight="1">
      <c r="A45" s="215">
        <f t="shared" si="10"/>
        <v>43</v>
      </c>
      <c r="B45" s="222">
        <v>832</v>
      </c>
      <c r="C45" s="223" t="s">
        <v>63</v>
      </c>
      <c r="D45" s="317"/>
      <c r="E45" s="318">
        <v>241</v>
      </c>
      <c r="F45" s="216"/>
      <c r="G45" s="216"/>
      <c r="H45" s="316" t="s">
        <v>153</v>
      </c>
      <c r="I45" s="243"/>
      <c r="J45" s="217"/>
      <c r="K45" s="218"/>
      <c r="L45" s="218"/>
      <c r="M45" s="219"/>
      <c r="N45" s="187">
        <v>2</v>
      </c>
      <c r="O45" s="187" t="str">
        <f t="shared" ref="O45" si="18">IF(N45=1,"국",IF(N45=2,"공","사"))</f>
        <v>공</v>
      </c>
      <c r="P45" s="156" t="str">
        <f t="shared" ref="P45" si="19">CONCATENATE(C45,O45)</f>
        <v>도공</v>
      </c>
      <c r="Q45" s="157"/>
      <c r="R45" s="321">
        <v>16500</v>
      </c>
      <c r="S45" s="321">
        <f>IF(N45=3,R45,)</f>
        <v>0</v>
      </c>
      <c r="T45" s="321">
        <f>IF(OR(N45=1,N45=2),R45,)</f>
        <v>16500</v>
      </c>
      <c r="U45" s="321">
        <f>S45*E45</f>
        <v>0</v>
      </c>
      <c r="V45" s="322">
        <f t="shared" si="17"/>
        <v>0</v>
      </c>
      <c r="W45" s="322">
        <f t="shared" si="17"/>
        <v>0</v>
      </c>
      <c r="X45" s="322">
        <f t="shared" si="17"/>
        <v>0</v>
      </c>
    </row>
    <row r="46" spans="1:24" s="158" customFormat="1" ht="30" customHeight="1">
      <c r="A46" s="215">
        <f t="shared" si="10"/>
        <v>44</v>
      </c>
      <c r="B46" s="222" t="s">
        <v>122</v>
      </c>
      <c r="C46" s="223" t="s">
        <v>131</v>
      </c>
      <c r="D46" s="317"/>
      <c r="E46" s="318">
        <v>327</v>
      </c>
      <c r="F46" s="216"/>
      <c r="G46" s="216"/>
      <c r="H46" s="316" t="s">
        <v>153</v>
      </c>
      <c r="I46" s="243"/>
      <c r="J46" s="217"/>
      <c r="K46" s="218"/>
      <c r="L46" s="218"/>
      <c r="M46" s="219"/>
      <c r="N46" s="187">
        <v>2</v>
      </c>
      <c r="O46" s="187" t="str">
        <f>IF(N46=1,"국",IF(N46=2,"공","사"))</f>
        <v>공</v>
      </c>
      <c r="P46" s="156" t="str">
        <f>CONCATENATE(C46,O46)</f>
        <v>답공</v>
      </c>
      <c r="Q46" s="157"/>
      <c r="R46" s="321">
        <v>44800</v>
      </c>
      <c r="S46" s="321">
        <f>IF(N46=3,R46,)</f>
        <v>0</v>
      </c>
      <c r="T46" s="321">
        <f>IF(OR(N46=1,N46=2),R46,)</f>
        <v>44800</v>
      </c>
      <c r="U46" s="321">
        <f>S46*E46</f>
        <v>0</v>
      </c>
      <c r="V46" s="322">
        <f t="shared" si="17"/>
        <v>0</v>
      </c>
      <c r="W46" s="322">
        <f t="shared" si="17"/>
        <v>0</v>
      </c>
      <c r="X46" s="322">
        <f t="shared" si="17"/>
        <v>0</v>
      </c>
    </row>
    <row r="47" spans="1:24" s="158" customFormat="1" ht="30" customHeight="1">
      <c r="A47" s="215">
        <f t="shared" si="10"/>
        <v>45</v>
      </c>
      <c r="B47" s="222">
        <v>831</v>
      </c>
      <c r="C47" s="223" t="s">
        <v>131</v>
      </c>
      <c r="D47" s="317"/>
      <c r="E47" s="318">
        <v>32</v>
      </c>
      <c r="F47" s="216"/>
      <c r="G47" s="216"/>
      <c r="H47" s="316" t="s">
        <v>153</v>
      </c>
      <c r="I47" s="243"/>
      <c r="J47" s="217"/>
      <c r="K47" s="218"/>
      <c r="L47" s="218"/>
      <c r="M47" s="219"/>
      <c r="N47" s="187">
        <v>2</v>
      </c>
      <c r="O47" s="187" t="str">
        <f t="shared" ref="O47:O50" si="20">IF(N47=1,"국",IF(N47=2,"공","사"))</f>
        <v>공</v>
      </c>
      <c r="P47" s="156" t="str">
        <f t="shared" ref="P47:P50" si="21">CONCATENATE(C47,O47)</f>
        <v>답공</v>
      </c>
      <c r="Q47" s="157"/>
      <c r="R47" s="321">
        <v>57600</v>
      </c>
      <c r="S47" s="321">
        <f t="shared" ref="S47:S50" si="22">IF(N47=3,R47,)</f>
        <v>0</v>
      </c>
      <c r="T47" s="321">
        <f t="shared" ref="T47:T50" si="23">IF(OR(N47=1,N47=2),R47,)</f>
        <v>57600</v>
      </c>
      <c r="U47" s="321">
        <f t="shared" ref="U47:U50" si="24">S47*E47</f>
        <v>0</v>
      </c>
      <c r="V47" s="322">
        <f t="shared" si="17"/>
        <v>0</v>
      </c>
      <c r="W47" s="322">
        <f t="shared" si="17"/>
        <v>0</v>
      </c>
      <c r="X47" s="322">
        <f t="shared" si="17"/>
        <v>0</v>
      </c>
    </row>
    <row r="48" spans="1:24" s="158" customFormat="1" ht="30" customHeight="1">
      <c r="A48" s="215">
        <f t="shared" si="10"/>
        <v>46</v>
      </c>
      <c r="B48" s="222">
        <v>830</v>
      </c>
      <c r="C48" s="223" t="s">
        <v>134</v>
      </c>
      <c r="D48" s="317">
        <v>513</v>
      </c>
      <c r="E48" s="318">
        <v>61</v>
      </c>
      <c r="F48" s="216"/>
      <c r="G48" s="216"/>
      <c r="H48" s="316" t="s">
        <v>263</v>
      </c>
      <c r="I48" s="243" t="s">
        <v>264</v>
      </c>
      <c r="J48" s="217"/>
      <c r="K48" s="218"/>
      <c r="L48" s="218"/>
      <c r="M48" s="219"/>
      <c r="N48" s="187">
        <v>3</v>
      </c>
      <c r="O48" s="187" t="str">
        <f t="shared" si="20"/>
        <v>사</v>
      </c>
      <c r="P48" s="156" t="str">
        <f t="shared" si="21"/>
        <v>대사</v>
      </c>
      <c r="Q48" s="157"/>
      <c r="R48" s="321">
        <v>100100</v>
      </c>
      <c r="S48" s="321">
        <f t="shared" si="22"/>
        <v>100100</v>
      </c>
      <c r="T48" s="321">
        <f t="shared" si="23"/>
        <v>0</v>
      </c>
      <c r="U48" s="321">
        <f t="shared" si="24"/>
        <v>6106100</v>
      </c>
      <c r="V48" s="322">
        <f t="shared" si="17"/>
        <v>12212200</v>
      </c>
      <c r="W48" s="322">
        <f t="shared" si="17"/>
        <v>18318300</v>
      </c>
      <c r="X48" s="322">
        <f t="shared" si="17"/>
        <v>24424400</v>
      </c>
    </row>
    <row r="49" spans="1:24" s="158" customFormat="1" ht="30" customHeight="1">
      <c r="A49" s="215">
        <f t="shared" si="10"/>
        <v>47</v>
      </c>
      <c r="B49" s="222" t="s">
        <v>123</v>
      </c>
      <c r="C49" s="223" t="s">
        <v>134</v>
      </c>
      <c r="D49" s="317">
        <v>514</v>
      </c>
      <c r="E49" s="318">
        <v>4</v>
      </c>
      <c r="F49" s="216"/>
      <c r="G49" s="216"/>
      <c r="H49" s="316" t="s">
        <v>267</v>
      </c>
      <c r="I49" s="243" t="s">
        <v>266</v>
      </c>
      <c r="J49" s="217"/>
      <c r="K49" s="218"/>
      <c r="L49" s="218"/>
      <c r="M49" s="219"/>
      <c r="N49" s="187">
        <v>3</v>
      </c>
      <c r="O49" s="187" t="str">
        <f t="shared" si="20"/>
        <v>사</v>
      </c>
      <c r="P49" s="156" t="str">
        <f t="shared" si="21"/>
        <v>대사</v>
      </c>
      <c r="Q49" s="157"/>
      <c r="R49" s="321">
        <v>95400</v>
      </c>
      <c r="S49" s="321">
        <f t="shared" si="22"/>
        <v>95400</v>
      </c>
      <c r="T49" s="321">
        <f t="shared" si="23"/>
        <v>0</v>
      </c>
      <c r="U49" s="321">
        <f t="shared" si="24"/>
        <v>381600</v>
      </c>
      <c r="V49" s="322">
        <f t="shared" si="17"/>
        <v>763200</v>
      </c>
      <c r="W49" s="322">
        <f t="shared" si="17"/>
        <v>1144800</v>
      </c>
      <c r="X49" s="322">
        <f t="shared" si="17"/>
        <v>1526400</v>
      </c>
    </row>
    <row r="50" spans="1:24" s="158" customFormat="1" ht="30" customHeight="1">
      <c r="A50" s="215">
        <f t="shared" si="10"/>
        <v>48</v>
      </c>
      <c r="B50" s="222" t="s">
        <v>124</v>
      </c>
      <c r="C50" s="223" t="s">
        <v>134</v>
      </c>
      <c r="D50" s="317">
        <v>500</v>
      </c>
      <c r="E50" s="318">
        <v>19</v>
      </c>
      <c r="F50" s="216"/>
      <c r="G50" s="216"/>
      <c r="H50" s="316" t="s">
        <v>268</v>
      </c>
      <c r="I50" s="243" t="s">
        <v>266</v>
      </c>
      <c r="J50" s="217"/>
      <c r="K50" s="218"/>
      <c r="L50" s="218"/>
      <c r="M50" s="219"/>
      <c r="N50" s="187">
        <v>3</v>
      </c>
      <c r="O50" s="187" t="str">
        <f t="shared" si="20"/>
        <v>사</v>
      </c>
      <c r="P50" s="156" t="str">
        <f t="shared" si="21"/>
        <v>대사</v>
      </c>
      <c r="Q50" s="157"/>
      <c r="R50" s="321">
        <v>95400</v>
      </c>
      <c r="S50" s="321">
        <f t="shared" si="22"/>
        <v>95400</v>
      </c>
      <c r="T50" s="321">
        <f t="shared" si="23"/>
        <v>0</v>
      </c>
      <c r="U50" s="321">
        <f t="shared" si="24"/>
        <v>1812600</v>
      </c>
      <c r="V50" s="322">
        <f t="shared" si="17"/>
        <v>3625200</v>
      </c>
      <c r="W50" s="322">
        <f t="shared" si="17"/>
        <v>5437800</v>
      </c>
      <c r="X50" s="322">
        <f t="shared" si="17"/>
        <v>7250400</v>
      </c>
    </row>
    <row r="51" spans="1:24" s="158" customFormat="1" ht="30" customHeight="1">
      <c r="A51" s="215">
        <f t="shared" si="10"/>
        <v>49</v>
      </c>
      <c r="B51" s="222" t="s">
        <v>305</v>
      </c>
      <c r="C51" s="223" t="s">
        <v>134</v>
      </c>
      <c r="D51" s="324">
        <v>504</v>
      </c>
      <c r="E51" s="325"/>
      <c r="F51" s="216"/>
      <c r="G51" s="216"/>
      <c r="H51" s="316" t="s">
        <v>315</v>
      </c>
      <c r="I51" s="243" t="s">
        <v>316</v>
      </c>
      <c r="J51" s="217"/>
      <c r="K51" s="218"/>
      <c r="L51" s="218"/>
      <c r="M51" s="219"/>
      <c r="N51" s="187"/>
      <c r="O51" s="187"/>
      <c r="P51" s="156"/>
      <c r="Q51" s="157"/>
      <c r="R51" s="321"/>
      <c r="S51" s="321"/>
      <c r="T51" s="321"/>
      <c r="U51" s="321"/>
      <c r="V51" s="322"/>
      <c r="W51" s="322"/>
      <c r="X51" s="322"/>
    </row>
    <row r="52" spans="1:24" s="158" customFormat="1" ht="30" customHeight="1">
      <c r="A52" s="215">
        <f t="shared" si="10"/>
        <v>50</v>
      </c>
      <c r="B52" s="222">
        <v>1925</v>
      </c>
      <c r="C52" s="223" t="s">
        <v>331</v>
      </c>
      <c r="D52" s="324">
        <v>132</v>
      </c>
      <c r="E52" s="325"/>
      <c r="F52" s="216"/>
      <c r="G52" s="216"/>
      <c r="H52" s="316" t="s">
        <v>332</v>
      </c>
      <c r="I52" s="243"/>
      <c r="J52" s="217"/>
      <c r="K52" s="218"/>
      <c r="L52" s="218"/>
      <c r="M52" s="219"/>
      <c r="N52" s="187"/>
      <c r="O52" s="187"/>
      <c r="P52" s="156"/>
      <c r="Q52" s="157"/>
      <c r="R52" s="321"/>
      <c r="S52" s="321"/>
      <c r="T52" s="321"/>
      <c r="U52" s="321"/>
      <c r="V52" s="322"/>
      <c r="W52" s="322"/>
      <c r="X52" s="322"/>
    </row>
    <row r="53" spans="1:24" s="158" customFormat="1" ht="30" customHeight="1">
      <c r="A53" s="215">
        <f t="shared" si="10"/>
        <v>51</v>
      </c>
      <c r="B53" s="222">
        <v>828</v>
      </c>
      <c r="C53" s="223" t="s">
        <v>131</v>
      </c>
      <c r="D53" s="324">
        <v>413</v>
      </c>
      <c r="E53" s="325"/>
      <c r="F53" s="216"/>
      <c r="G53" s="216"/>
      <c r="H53" s="316" t="s">
        <v>205</v>
      </c>
      <c r="I53" s="243"/>
      <c r="J53" s="217"/>
      <c r="K53" s="218"/>
      <c r="L53" s="218"/>
      <c r="M53" s="219"/>
      <c r="N53" s="187"/>
      <c r="O53" s="187"/>
      <c r="P53" s="156"/>
      <c r="Q53" s="157"/>
      <c r="R53" s="321"/>
      <c r="S53" s="321"/>
      <c r="T53" s="321"/>
      <c r="U53" s="321"/>
      <c r="V53" s="322"/>
      <c r="W53" s="322"/>
      <c r="X53" s="322"/>
    </row>
    <row r="54" spans="1:24" s="158" customFormat="1" ht="30" customHeight="1">
      <c r="A54" s="215">
        <f t="shared" si="10"/>
        <v>52</v>
      </c>
      <c r="B54" s="222" t="s">
        <v>129</v>
      </c>
      <c r="C54" s="223" t="s">
        <v>132</v>
      </c>
      <c r="D54" s="317"/>
      <c r="E54" s="318">
        <v>167</v>
      </c>
      <c r="F54" s="216"/>
      <c r="G54" s="216"/>
      <c r="H54" s="316" t="s">
        <v>270</v>
      </c>
      <c r="I54" s="243" t="s">
        <v>269</v>
      </c>
      <c r="J54" s="217"/>
      <c r="K54" s="218"/>
      <c r="L54" s="218"/>
      <c r="M54" s="219"/>
      <c r="N54" s="187">
        <v>3</v>
      </c>
      <c r="O54" s="187" t="str">
        <f>IF(N54=1,"국",IF(N54=2,"공","사"))</f>
        <v>사</v>
      </c>
      <c r="P54" s="156" t="str">
        <f>CONCATENATE(C54,O54)</f>
        <v>임사</v>
      </c>
      <c r="Q54" s="157"/>
      <c r="R54" s="321">
        <v>20500</v>
      </c>
      <c r="S54" s="321">
        <f>IF(N54=3,R54,)</f>
        <v>20500</v>
      </c>
      <c r="T54" s="321">
        <f>IF(OR(N54=1,N54=2),R54,)</f>
        <v>0</v>
      </c>
      <c r="U54" s="321">
        <f>S54*E54</f>
        <v>3423500</v>
      </c>
      <c r="V54" s="322">
        <f t="shared" ref="V54:X55" si="25">ROUND($U54*V$2,0)</f>
        <v>6847000</v>
      </c>
      <c r="W54" s="322">
        <f t="shared" si="25"/>
        <v>10270500</v>
      </c>
      <c r="X54" s="322">
        <f t="shared" si="25"/>
        <v>13694000</v>
      </c>
    </row>
    <row r="55" spans="1:24" s="158" customFormat="1" ht="30" customHeight="1">
      <c r="A55" s="215">
        <f t="shared" si="10"/>
        <v>53</v>
      </c>
      <c r="B55" s="222" t="s">
        <v>128</v>
      </c>
      <c r="C55" s="223" t="s">
        <v>133</v>
      </c>
      <c r="D55" s="317">
        <v>34</v>
      </c>
      <c r="E55" s="318">
        <v>15</v>
      </c>
      <c r="F55" s="216"/>
      <c r="G55" s="216"/>
      <c r="H55" s="316" t="s">
        <v>277</v>
      </c>
      <c r="I55" s="243" t="s">
        <v>278</v>
      </c>
      <c r="J55" s="217"/>
      <c r="K55" s="218"/>
      <c r="L55" s="218"/>
      <c r="M55" s="219"/>
      <c r="N55" s="187">
        <v>3</v>
      </c>
      <c r="O55" s="187" t="str">
        <f>IF(N55=1,"국",IF(N55=2,"공","사"))</f>
        <v>사</v>
      </c>
      <c r="P55" s="156" t="str">
        <f>CONCATENATE(C55,O55)</f>
        <v>도사</v>
      </c>
      <c r="Q55" s="157"/>
      <c r="R55" s="321">
        <v>5770</v>
      </c>
      <c r="S55" s="321">
        <f>IF(N55=3,R55,)</f>
        <v>5770</v>
      </c>
      <c r="T55" s="321">
        <f>IF(OR(N55=1,N55=2),R55,)</f>
        <v>0</v>
      </c>
      <c r="U55" s="321">
        <f>S55*E55</f>
        <v>86550</v>
      </c>
      <c r="V55" s="322">
        <f t="shared" si="25"/>
        <v>173100</v>
      </c>
      <c r="W55" s="322">
        <f t="shared" si="25"/>
        <v>259650</v>
      </c>
      <c r="X55" s="322">
        <f t="shared" si="25"/>
        <v>346200</v>
      </c>
    </row>
    <row r="56" spans="1:24" s="158" customFormat="1" ht="30" customHeight="1">
      <c r="A56" s="215">
        <f t="shared" si="10"/>
        <v>54</v>
      </c>
      <c r="B56" s="222">
        <v>841</v>
      </c>
      <c r="C56" s="223" t="s">
        <v>131</v>
      </c>
      <c r="D56" s="324">
        <v>3064</v>
      </c>
      <c r="E56" s="325"/>
      <c r="F56" s="216"/>
      <c r="G56" s="216"/>
      <c r="H56" s="316" t="s">
        <v>318</v>
      </c>
      <c r="I56" s="243" t="s">
        <v>319</v>
      </c>
      <c r="J56" s="217"/>
      <c r="K56" s="218"/>
      <c r="L56" s="218"/>
      <c r="M56" s="219"/>
      <c r="N56" s="187"/>
      <c r="O56" s="187"/>
      <c r="P56" s="156"/>
      <c r="Q56" s="157"/>
      <c r="R56" s="321"/>
      <c r="S56" s="321"/>
      <c r="T56" s="321"/>
      <c r="U56" s="321"/>
      <c r="V56" s="322"/>
      <c r="W56" s="322"/>
      <c r="X56" s="322"/>
    </row>
    <row r="57" spans="1:24" s="158" customFormat="1" ht="30" customHeight="1">
      <c r="A57" s="215">
        <f t="shared" si="10"/>
        <v>55</v>
      </c>
      <c r="B57" s="222" t="s">
        <v>135</v>
      </c>
      <c r="C57" s="223" t="s">
        <v>131</v>
      </c>
      <c r="D57" s="317">
        <v>127</v>
      </c>
      <c r="E57" s="318">
        <v>111</v>
      </c>
      <c r="F57" s="216"/>
      <c r="G57" s="216"/>
      <c r="H57" s="316" t="s">
        <v>293</v>
      </c>
      <c r="I57" s="243" t="s">
        <v>292</v>
      </c>
      <c r="J57" s="217"/>
      <c r="K57" s="218"/>
      <c r="L57" s="218"/>
      <c r="M57" s="219"/>
      <c r="N57" s="187">
        <v>3</v>
      </c>
      <c r="O57" s="187" t="str">
        <f t="shared" ref="O57:O65" si="26">IF(N57=1,"국",IF(N57=2,"공","사"))</f>
        <v>사</v>
      </c>
      <c r="P57" s="156" t="str">
        <f t="shared" ref="P57:P65" si="27">CONCATENATE(C57,O57)</f>
        <v>답사</v>
      </c>
      <c r="Q57" s="157"/>
      <c r="R57" s="321">
        <v>60700</v>
      </c>
      <c r="S57" s="321">
        <f t="shared" ref="S57:S65" si="28">IF(N57=3,R57,)</f>
        <v>60700</v>
      </c>
      <c r="T57" s="321">
        <f t="shared" ref="T57:T65" si="29">IF(OR(N57=1,N57=2),R57,)</f>
        <v>0</v>
      </c>
      <c r="U57" s="321">
        <f t="shared" ref="U57:U65" si="30">S57*E57</f>
        <v>6737700</v>
      </c>
      <c r="V57" s="322">
        <f t="shared" ref="V57:X65" si="31">ROUND($U57*V$2,0)</f>
        <v>13475400</v>
      </c>
      <c r="W57" s="322">
        <f t="shared" si="31"/>
        <v>20213100</v>
      </c>
      <c r="X57" s="322">
        <f t="shared" si="31"/>
        <v>26950800</v>
      </c>
    </row>
    <row r="58" spans="1:24" s="158" customFormat="1" ht="30" customHeight="1">
      <c r="A58" s="215">
        <f t="shared" si="10"/>
        <v>56</v>
      </c>
      <c r="B58" s="222">
        <v>843</v>
      </c>
      <c r="C58" s="223" t="s">
        <v>131</v>
      </c>
      <c r="D58" s="317">
        <v>2281</v>
      </c>
      <c r="E58" s="318">
        <v>55</v>
      </c>
      <c r="F58" s="216"/>
      <c r="G58" s="216"/>
      <c r="H58" s="316" t="s">
        <v>298</v>
      </c>
      <c r="I58" s="243" t="s">
        <v>299</v>
      </c>
      <c r="J58" s="217"/>
      <c r="K58" s="218"/>
      <c r="L58" s="218"/>
      <c r="M58" s="219"/>
      <c r="N58" s="187">
        <v>3</v>
      </c>
      <c r="O58" s="187" t="str">
        <f t="shared" si="26"/>
        <v>사</v>
      </c>
      <c r="P58" s="156" t="str">
        <f t="shared" si="27"/>
        <v>답사</v>
      </c>
      <c r="Q58" s="157"/>
      <c r="R58" s="321">
        <v>49100</v>
      </c>
      <c r="S58" s="321">
        <f t="shared" si="28"/>
        <v>49100</v>
      </c>
      <c r="T58" s="321">
        <f t="shared" si="29"/>
        <v>0</v>
      </c>
      <c r="U58" s="321">
        <f t="shared" si="30"/>
        <v>2700500</v>
      </c>
      <c r="V58" s="322">
        <f t="shared" si="31"/>
        <v>5401000</v>
      </c>
      <c r="W58" s="322">
        <f t="shared" si="31"/>
        <v>8101500</v>
      </c>
      <c r="X58" s="322">
        <f t="shared" si="31"/>
        <v>10802000</v>
      </c>
    </row>
    <row r="59" spans="1:24" s="158" customFormat="1" ht="30" customHeight="1">
      <c r="A59" s="215">
        <f t="shared" si="10"/>
        <v>57</v>
      </c>
      <c r="B59" s="222">
        <v>845</v>
      </c>
      <c r="C59" s="223" t="s">
        <v>131</v>
      </c>
      <c r="D59" s="317">
        <v>1514</v>
      </c>
      <c r="E59" s="318">
        <v>56</v>
      </c>
      <c r="F59" s="216"/>
      <c r="G59" s="216"/>
      <c r="H59" s="316" t="s">
        <v>301</v>
      </c>
      <c r="I59" s="243" t="s">
        <v>300</v>
      </c>
      <c r="J59" s="217"/>
      <c r="K59" s="218"/>
      <c r="L59" s="218"/>
      <c r="M59" s="219"/>
      <c r="N59" s="187">
        <v>3</v>
      </c>
      <c r="O59" s="187" t="str">
        <f t="shared" si="26"/>
        <v>사</v>
      </c>
      <c r="P59" s="156" t="str">
        <f t="shared" si="27"/>
        <v>답사</v>
      </c>
      <c r="Q59" s="157"/>
      <c r="R59" s="321">
        <v>52800</v>
      </c>
      <c r="S59" s="321">
        <f t="shared" si="28"/>
        <v>52800</v>
      </c>
      <c r="T59" s="321">
        <f t="shared" si="29"/>
        <v>0</v>
      </c>
      <c r="U59" s="321">
        <f t="shared" si="30"/>
        <v>2956800</v>
      </c>
      <c r="V59" s="322">
        <f t="shared" si="31"/>
        <v>5913600</v>
      </c>
      <c r="W59" s="322">
        <f t="shared" si="31"/>
        <v>8870400</v>
      </c>
      <c r="X59" s="322">
        <f t="shared" si="31"/>
        <v>11827200</v>
      </c>
    </row>
    <row r="60" spans="1:24" s="158" customFormat="1" ht="30" customHeight="1">
      <c r="A60" s="215">
        <f t="shared" si="10"/>
        <v>58</v>
      </c>
      <c r="B60" s="222" t="s">
        <v>136</v>
      </c>
      <c r="C60" s="223" t="s">
        <v>131</v>
      </c>
      <c r="D60" s="317">
        <v>122</v>
      </c>
      <c r="E60" s="318">
        <v>122</v>
      </c>
      <c r="F60" s="216"/>
      <c r="G60" s="216"/>
      <c r="H60" s="316" t="s">
        <v>296</v>
      </c>
      <c r="I60" s="243" t="s">
        <v>297</v>
      </c>
      <c r="J60" s="217"/>
      <c r="K60" s="218"/>
      <c r="L60" s="218"/>
      <c r="M60" s="219"/>
      <c r="N60" s="187">
        <v>3</v>
      </c>
      <c r="O60" s="187" t="str">
        <f t="shared" si="26"/>
        <v>사</v>
      </c>
      <c r="P60" s="156" t="str">
        <f t="shared" si="27"/>
        <v>답사</v>
      </c>
      <c r="Q60" s="157"/>
      <c r="R60" s="321">
        <v>58900</v>
      </c>
      <c r="S60" s="321">
        <f t="shared" si="28"/>
        <v>58900</v>
      </c>
      <c r="T60" s="321">
        <f t="shared" si="29"/>
        <v>0</v>
      </c>
      <c r="U60" s="321">
        <f t="shared" si="30"/>
        <v>7185800</v>
      </c>
      <c r="V60" s="322">
        <f t="shared" si="31"/>
        <v>14371600</v>
      </c>
      <c r="W60" s="322">
        <f t="shared" si="31"/>
        <v>21557400</v>
      </c>
      <c r="X60" s="322">
        <f t="shared" si="31"/>
        <v>28743200</v>
      </c>
    </row>
    <row r="61" spans="1:24" s="158" customFormat="1" ht="30" customHeight="1">
      <c r="A61" s="215">
        <f t="shared" si="10"/>
        <v>59</v>
      </c>
      <c r="B61" s="222">
        <v>851</v>
      </c>
      <c r="C61" s="223" t="s">
        <v>131</v>
      </c>
      <c r="D61" s="317">
        <v>3379</v>
      </c>
      <c r="E61" s="318">
        <v>110</v>
      </c>
      <c r="F61" s="216"/>
      <c r="G61" s="216"/>
      <c r="H61" s="316" t="s">
        <v>302</v>
      </c>
      <c r="I61" s="243" t="s">
        <v>303</v>
      </c>
      <c r="J61" s="217"/>
      <c r="K61" s="218"/>
      <c r="L61" s="218"/>
      <c r="M61" s="219"/>
      <c r="N61" s="187">
        <v>3</v>
      </c>
      <c r="O61" s="187" t="str">
        <f t="shared" si="26"/>
        <v>사</v>
      </c>
      <c r="P61" s="156" t="str">
        <f t="shared" si="27"/>
        <v>답사</v>
      </c>
      <c r="Q61" s="157"/>
      <c r="R61" s="321">
        <v>52400</v>
      </c>
      <c r="S61" s="321">
        <f t="shared" si="28"/>
        <v>52400</v>
      </c>
      <c r="T61" s="321">
        <f t="shared" si="29"/>
        <v>0</v>
      </c>
      <c r="U61" s="321">
        <f t="shared" si="30"/>
        <v>5764000</v>
      </c>
      <c r="V61" s="322">
        <f t="shared" si="31"/>
        <v>11528000</v>
      </c>
      <c r="W61" s="322">
        <f t="shared" si="31"/>
        <v>17292000</v>
      </c>
      <c r="X61" s="322">
        <f t="shared" si="31"/>
        <v>23056000</v>
      </c>
    </row>
    <row r="62" spans="1:24" s="158" customFormat="1" ht="30" customHeight="1">
      <c r="A62" s="215">
        <f t="shared" si="10"/>
        <v>60</v>
      </c>
      <c r="B62" s="222">
        <v>847</v>
      </c>
      <c r="C62" s="223" t="s">
        <v>199</v>
      </c>
      <c r="D62" s="324">
        <v>83</v>
      </c>
      <c r="E62" s="318">
        <v>31</v>
      </c>
      <c r="F62" s="216"/>
      <c r="G62" s="216"/>
      <c r="H62" s="316" t="s">
        <v>225</v>
      </c>
      <c r="I62" s="243" t="s">
        <v>226</v>
      </c>
      <c r="J62" s="217"/>
      <c r="K62" s="218"/>
      <c r="L62" s="218"/>
      <c r="M62" s="219"/>
      <c r="N62" s="187">
        <v>3</v>
      </c>
      <c r="O62" s="187" t="str">
        <f t="shared" si="26"/>
        <v>사</v>
      </c>
      <c r="P62" s="156" t="str">
        <f t="shared" si="27"/>
        <v>전사</v>
      </c>
      <c r="Q62" s="157"/>
      <c r="R62" s="321">
        <v>55900</v>
      </c>
      <c r="S62" s="321">
        <f t="shared" si="28"/>
        <v>55900</v>
      </c>
      <c r="T62" s="321">
        <f t="shared" si="29"/>
        <v>0</v>
      </c>
      <c r="U62" s="321">
        <f t="shared" si="30"/>
        <v>1732900</v>
      </c>
      <c r="V62" s="322">
        <f t="shared" si="31"/>
        <v>3465800</v>
      </c>
      <c r="W62" s="322">
        <f t="shared" si="31"/>
        <v>5198700</v>
      </c>
      <c r="X62" s="322">
        <f t="shared" si="31"/>
        <v>6931600</v>
      </c>
    </row>
    <row r="63" spans="1:24" s="158" customFormat="1" ht="30" customHeight="1">
      <c r="A63" s="215">
        <f t="shared" si="10"/>
        <v>61</v>
      </c>
      <c r="B63" s="222" t="s">
        <v>138</v>
      </c>
      <c r="C63" s="223" t="s">
        <v>133</v>
      </c>
      <c r="D63" s="324">
        <v>157</v>
      </c>
      <c r="E63" s="318">
        <v>157</v>
      </c>
      <c r="F63" s="216"/>
      <c r="G63" s="216"/>
      <c r="H63" s="316" t="s">
        <v>231</v>
      </c>
      <c r="I63" s="243" t="s">
        <v>232</v>
      </c>
      <c r="J63" s="217"/>
      <c r="K63" s="218"/>
      <c r="L63" s="218"/>
      <c r="M63" s="219"/>
      <c r="N63" s="187">
        <v>3</v>
      </c>
      <c r="O63" s="187" t="str">
        <f t="shared" si="26"/>
        <v>사</v>
      </c>
      <c r="P63" s="156" t="str">
        <f t="shared" si="27"/>
        <v>도사</v>
      </c>
      <c r="Q63" s="157"/>
      <c r="R63" s="321">
        <v>18100</v>
      </c>
      <c r="S63" s="321">
        <f t="shared" si="28"/>
        <v>18100</v>
      </c>
      <c r="T63" s="321">
        <f t="shared" si="29"/>
        <v>0</v>
      </c>
      <c r="U63" s="321">
        <f t="shared" si="30"/>
        <v>2841700</v>
      </c>
      <c r="V63" s="322">
        <f t="shared" si="31"/>
        <v>5683400</v>
      </c>
      <c r="W63" s="322">
        <f t="shared" si="31"/>
        <v>8525100</v>
      </c>
      <c r="X63" s="322">
        <f t="shared" si="31"/>
        <v>11366800</v>
      </c>
    </row>
    <row r="64" spans="1:24" s="158" customFormat="1" ht="30" customHeight="1">
      <c r="A64" s="215">
        <f t="shared" si="10"/>
        <v>62</v>
      </c>
      <c r="B64" s="222" t="s">
        <v>143</v>
      </c>
      <c r="C64" s="223" t="s">
        <v>152</v>
      </c>
      <c r="D64" s="324">
        <v>390</v>
      </c>
      <c r="E64" s="318">
        <v>5</v>
      </c>
      <c r="F64" s="216"/>
      <c r="G64" s="216"/>
      <c r="H64" s="316" t="s">
        <v>236</v>
      </c>
      <c r="I64" s="243" t="s">
        <v>237</v>
      </c>
      <c r="J64" s="217"/>
      <c r="K64" s="218"/>
      <c r="L64" s="218"/>
      <c r="M64" s="219"/>
      <c r="N64" s="187">
        <v>3</v>
      </c>
      <c r="O64" s="187" t="str">
        <f t="shared" si="26"/>
        <v>사</v>
      </c>
      <c r="P64" s="156" t="str">
        <f t="shared" si="27"/>
        <v>천사</v>
      </c>
      <c r="Q64" s="157"/>
      <c r="R64" s="321">
        <v>18100</v>
      </c>
      <c r="S64" s="321">
        <f t="shared" si="28"/>
        <v>18100</v>
      </c>
      <c r="T64" s="321">
        <f t="shared" si="29"/>
        <v>0</v>
      </c>
      <c r="U64" s="321">
        <f t="shared" si="30"/>
        <v>90500</v>
      </c>
      <c r="V64" s="322">
        <f t="shared" si="31"/>
        <v>181000</v>
      </c>
      <c r="W64" s="322">
        <f t="shared" si="31"/>
        <v>271500</v>
      </c>
      <c r="X64" s="322">
        <f t="shared" si="31"/>
        <v>362000</v>
      </c>
    </row>
    <row r="65" spans="1:24" s="158" customFormat="1" ht="30" customHeight="1">
      <c r="A65" s="215">
        <f t="shared" si="10"/>
        <v>63</v>
      </c>
      <c r="B65" s="222" t="s">
        <v>139</v>
      </c>
      <c r="C65" s="223" t="s">
        <v>133</v>
      </c>
      <c r="D65" s="324">
        <v>103</v>
      </c>
      <c r="E65" s="318">
        <v>50</v>
      </c>
      <c r="F65" s="216"/>
      <c r="G65" s="216"/>
      <c r="H65" s="316" t="s">
        <v>205</v>
      </c>
      <c r="I65" s="243"/>
      <c r="J65" s="217"/>
      <c r="K65" s="218"/>
      <c r="L65" s="218"/>
      <c r="M65" s="219"/>
      <c r="N65" s="187">
        <v>2</v>
      </c>
      <c r="O65" s="187" t="str">
        <f t="shared" si="26"/>
        <v>공</v>
      </c>
      <c r="P65" s="156" t="str">
        <f t="shared" si="27"/>
        <v>도공</v>
      </c>
      <c r="Q65" s="157"/>
      <c r="R65" s="321">
        <v>18100</v>
      </c>
      <c r="S65" s="321">
        <f t="shared" si="28"/>
        <v>0</v>
      </c>
      <c r="T65" s="321">
        <f t="shared" si="29"/>
        <v>18100</v>
      </c>
      <c r="U65" s="321">
        <f t="shared" si="30"/>
        <v>0</v>
      </c>
      <c r="V65" s="322">
        <f t="shared" si="31"/>
        <v>0</v>
      </c>
      <c r="W65" s="322">
        <f t="shared" si="31"/>
        <v>0</v>
      </c>
      <c r="X65" s="322">
        <f t="shared" si="31"/>
        <v>0</v>
      </c>
    </row>
    <row r="66" spans="1:24" s="158" customFormat="1" ht="30" customHeight="1">
      <c r="A66" s="215">
        <f t="shared" si="10"/>
        <v>64</v>
      </c>
      <c r="B66" s="222" t="s">
        <v>142</v>
      </c>
      <c r="C66" s="223" t="s">
        <v>133</v>
      </c>
      <c r="D66" s="317">
        <v>182</v>
      </c>
      <c r="E66" s="318">
        <v>182</v>
      </c>
      <c r="F66" s="216"/>
      <c r="G66" s="216"/>
      <c r="H66" s="316" t="s">
        <v>153</v>
      </c>
      <c r="I66" s="243"/>
      <c r="J66" s="217"/>
      <c r="K66" s="218"/>
      <c r="L66" s="218"/>
      <c r="M66" s="219"/>
      <c r="N66" s="187"/>
      <c r="O66" s="187"/>
      <c r="P66" s="156"/>
      <c r="Q66" s="157"/>
      <c r="R66" s="321"/>
      <c r="S66" s="321"/>
      <c r="T66" s="321"/>
      <c r="U66" s="321"/>
      <c r="V66" s="322"/>
      <c r="W66" s="322"/>
      <c r="X66" s="322"/>
    </row>
    <row r="67" spans="1:24" s="158" customFormat="1" ht="30" customHeight="1">
      <c r="A67" s="215">
        <f t="shared" si="10"/>
        <v>65</v>
      </c>
      <c r="B67" s="222" t="s">
        <v>145</v>
      </c>
      <c r="C67" s="223" t="s">
        <v>133</v>
      </c>
      <c r="D67" s="317">
        <v>190</v>
      </c>
      <c r="E67" s="318">
        <v>190</v>
      </c>
      <c r="F67" s="216"/>
      <c r="G67" s="216"/>
      <c r="H67" s="316" t="s">
        <v>153</v>
      </c>
      <c r="I67" s="243"/>
      <c r="J67" s="217"/>
      <c r="K67" s="218"/>
      <c r="L67" s="218"/>
      <c r="M67" s="219"/>
      <c r="N67" s="187"/>
      <c r="O67" s="187"/>
      <c r="P67" s="156"/>
      <c r="Q67" s="157"/>
      <c r="R67" s="321"/>
      <c r="S67" s="321"/>
      <c r="T67" s="321"/>
      <c r="U67" s="321"/>
      <c r="V67" s="322"/>
      <c r="W67" s="322"/>
      <c r="X67" s="322"/>
    </row>
    <row r="68" spans="1:24" s="158" customFormat="1" ht="30" customHeight="1">
      <c r="A68" s="215">
        <f t="shared" si="10"/>
        <v>66</v>
      </c>
      <c r="B68" s="222" t="s">
        <v>147</v>
      </c>
      <c r="C68" s="223" t="s">
        <v>133</v>
      </c>
      <c r="D68" s="324">
        <v>76</v>
      </c>
      <c r="E68" s="325">
        <v>76</v>
      </c>
      <c r="F68" s="216"/>
      <c r="G68" s="216"/>
      <c r="H68" s="316" t="s">
        <v>249</v>
      </c>
      <c r="I68" s="243" t="s">
        <v>250</v>
      </c>
      <c r="J68" s="217"/>
      <c r="K68" s="218"/>
      <c r="L68" s="218"/>
      <c r="M68" s="219"/>
      <c r="N68" s="187"/>
      <c r="O68" s="187"/>
      <c r="P68" s="156"/>
      <c r="Q68" s="157"/>
      <c r="R68" s="321"/>
      <c r="S68" s="321"/>
      <c r="T68" s="321"/>
      <c r="U68" s="321"/>
      <c r="V68" s="322"/>
      <c r="W68" s="322"/>
      <c r="X68" s="322"/>
    </row>
    <row r="69" spans="1:24" s="158" customFormat="1" ht="30" customHeight="1">
      <c r="A69" s="215">
        <f t="shared" ref="A69" si="32">A68+1</f>
        <v>67</v>
      </c>
      <c r="B69" s="222" t="s">
        <v>251</v>
      </c>
      <c r="C69" s="223" t="s">
        <v>133</v>
      </c>
      <c r="D69" s="324">
        <v>121</v>
      </c>
      <c r="E69" s="325">
        <v>121</v>
      </c>
      <c r="F69" s="216"/>
      <c r="G69" s="216"/>
      <c r="H69" s="316" t="s">
        <v>252</v>
      </c>
      <c r="I69" s="243" t="s">
        <v>253</v>
      </c>
      <c r="J69" s="217"/>
      <c r="K69" s="218"/>
      <c r="L69" s="218"/>
      <c r="M69" s="219"/>
      <c r="N69" s="187"/>
      <c r="O69" s="187"/>
      <c r="P69" s="156"/>
      <c r="Q69" s="157"/>
      <c r="R69" s="321"/>
      <c r="S69" s="321"/>
      <c r="T69" s="321"/>
      <c r="U69" s="321"/>
      <c r="V69" s="322"/>
      <c r="W69" s="322"/>
      <c r="X69" s="322"/>
    </row>
    <row r="70" spans="1:24" s="158" customFormat="1" ht="30" customHeight="1">
      <c r="A70" s="215"/>
      <c r="B70" s="222"/>
      <c r="C70" s="223"/>
      <c r="D70" s="317"/>
      <c r="E70" s="318"/>
      <c r="F70" s="216"/>
      <c r="G70" s="216"/>
      <c r="H70" s="316"/>
      <c r="I70" s="243"/>
      <c r="J70" s="217"/>
      <c r="K70" s="218"/>
      <c r="L70" s="218"/>
      <c r="M70" s="219"/>
      <c r="N70" s="187"/>
      <c r="O70" s="187"/>
      <c r="P70" s="156"/>
      <c r="Q70" s="157"/>
      <c r="R70" s="321"/>
      <c r="S70" s="321"/>
      <c r="T70" s="321"/>
      <c r="U70" s="321"/>
      <c r="V70" s="322"/>
      <c r="W70" s="322"/>
      <c r="X70" s="322"/>
    </row>
    <row r="71" spans="1:24" s="158" customFormat="1" ht="30" customHeight="1">
      <c r="A71" s="323"/>
      <c r="B71" s="222"/>
      <c r="C71" s="223"/>
      <c r="D71" s="317"/>
      <c r="E71" s="318"/>
      <c r="F71" s="216"/>
      <c r="G71" s="216"/>
      <c r="H71" s="316"/>
      <c r="I71" s="243"/>
      <c r="J71" s="217"/>
      <c r="K71" s="218"/>
      <c r="L71" s="218"/>
      <c r="M71" s="219"/>
      <c r="N71" s="187"/>
      <c r="O71" s="187"/>
      <c r="P71" s="156"/>
      <c r="Q71" s="157"/>
      <c r="R71" s="321"/>
      <c r="S71" s="321"/>
      <c r="T71" s="321"/>
      <c r="U71" s="321"/>
      <c r="V71" s="322"/>
      <c r="W71" s="322"/>
      <c r="X71" s="322"/>
    </row>
    <row r="72" spans="1:24" s="158" customFormat="1" ht="30" customHeight="1">
      <c r="A72" s="323"/>
      <c r="B72" s="222" t="s">
        <v>189</v>
      </c>
      <c r="C72" s="223" t="s">
        <v>192</v>
      </c>
      <c r="D72" s="317">
        <v>1124</v>
      </c>
      <c r="E72" s="318">
        <v>39</v>
      </c>
      <c r="F72" s="216"/>
      <c r="G72" s="216"/>
      <c r="H72" s="316" t="s">
        <v>275</v>
      </c>
      <c r="I72" s="243" t="s">
        <v>271</v>
      </c>
      <c r="J72" s="217"/>
      <c r="K72" s="218"/>
      <c r="L72" s="218"/>
      <c r="M72" s="219"/>
      <c r="N72" s="187">
        <v>3</v>
      </c>
      <c r="O72" s="187" t="str">
        <f t="shared" ref="O72:O76" si="33">IF(N72=1,"국",IF(N72=2,"공","사"))</f>
        <v>사</v>
      </c>
      <c r="P72" s="156" t="str">
        <f t="shared" ref="P72:P76" si="34">CONCATENATE(C72,O72)</f>
        <v>대사</v>
      </c>
      <c r="Q72" s="157"/>
      <c r="R72" s="321">
        <v>96300</v>
      </c>
      <c r="S72" s="321">
        <f t="shared" ref="S72:S76" si="35">IF(N72=3,R72,)</f>
        <v>96300</v>
      </c>
      <c r="T72" s="321">
        <f t="shared" ref="T72:T76" si="36">IF(OR(N72=1,N72=2),R72,)</f>
        <v>0</v>
      </c>
      <c r="U72" s="321">
        <f t="shared" ref="U72:U76" si="37">S72*E72</f>
        <v>3755700</v>
      </c>
      <c r="V72" s="322">
        <f t="shared" ref="V72:X76" si="38">ROUND($U72*V$2,0)</f>
        <v>7511400</v>
      </c>
      <c r="W72" s="322">
        <f t="shared" si="38"/>
        <v>11267100</v>
      </c>
      <c r="X72" s="322">
        <f t="shared" si="38"/>
        <v>15022800</v>
      </c>
    </row>
    <row r="73" spans="1:24" s="158" customFormat="1" ht="30" customHeight="1">
      <c r="A73" s="323"/>
      <c r="B73" s="222">
        <v>827</v>
      </c>
      <c r="C73" s="223" t="s">
        <v>199</v>
      </c>
      <c r="D73" s="317">
        <v>200</v>
      </c>
      <c r="E73" s="318">
        <v>19</v>
      </c>
      <c r="F73" s="216"/>
      <c r="G73" s="216"/>
      <c r="H73" s="316" t="s">
        <v>281</v>
      </c>
      <c r="I73" s="243" t="s">
        <v>282</v>
      </c>
      <c r="J73" s="217"/>
      <c r="K73" s="218"/>
      <c r="L73" s="218"/>
      <c r="M73" s="219"/>
      <c r="N73" s="187">
        <v>3</v>
      </c>
      <c r="O73" s="187" t="str">
        <f t="shared" si="33"/>
        <v>사</v>
      </c>
      <c r="P73" s="156" t="str">
        <f t="shared" si="34"/>
        <v>전사</v>
      </c>
      <c r="Q73" s="157"/>
      <c r="R73" s="321">
        <v>98100</v>
      </c>
      <c r="S73" s="321">
        <f t="shared" si="35"/>
        <v>98100</v>
      </c>
      <c r="T73" s="321">
        <f t="shared" si="36"/>
        <v>0</v>
      </c>
      <c r="U73" s="321">
        <f t="shared" si="37"/>
        <v>1863900</v>
      </c>
      <c r="V73" s="322">
        <f t="shared" si="38"/>
        <v>3727800</v>
      </c>
      <c r="W73" s="322">
        <f t="shared" si="38"/>
        <v>5591700</v>
      </c>
      <c r="X73" s="322">
        <f t="shared" si="38"/>
        <v>7455600</v>
      </c>
    </row>
    <row r="74" spans="1:24" s="158" customFormat="1" ht="30" customHeight="1">
      <c r="A74" s="215"/>
      <c r="B74" s="222" t="s">
        <v>197</v>
      </c>
      <c r="C74" s="223" t="s">
        <v>199</v>
      </c>
      <c r="D74" s="317">
        <v>15</v>
      </c>
      <c r="E74" s="318">
        <v>33</v>
      </c>
      <c r="F74" s="216"/>
      <c r="G74" s="216"/>
      <c r="H74" s="316" t="s">
        <v>289</v>
      </c>
      <c r="I74" s="243" t="s">
        <v>286</v>
      </c>
      <c r="J74" s="217"/>
      <c r="K74" s="218"/>
      <c r="L74" s="218"/>
      <c r="M74" s="219"/>
      <c r="N74" s="187">
        <v>3</v>
      </c>
      <c r="O74" s="187" t="str">
        <f t="shared" si="33"/>
        <v>사</v>
      </c>
      <c r="P74" s="156" t="str">
        <f t="shared" si="34"/>
        <v>전사</v>
      </c>
      <c r="Q74" s="157"/>
      <c r="R74" s="321">
        <v>76500</v>
      </c>
      <c r="S74" s="321">
        <f t="shared" si="35"/>
        <v>76500</v>
      </c>
      <c r="T74" s="321">
        <f t="shared" si="36"/>
        <v>0</v>
      </c>
      <c r="U74" s="321">
        <f t="shared" si="37"/>
        <v>2524500</v>
      </c>
      <c r="V74" s="322">
        <f t="shared" si="38"/>
        <v>5049000</v>
      </c>
      <c r="W74" s="322">
        <f t="shared" si="38"/>
        <v>7573500</v>
      </c>
      <c r="X74" s="322">
        <f t="shared" si="38"/>
        <v>10098000</v>
      </c>
    </row>
    <row r="75" spans="1:24" s="158" customFormat="1" ht="30" customHeight="1">
      <c r="A75" s="215"/>
      <c r="B75" s="222">
        <v>822</v>
      </c>
      <c r="C75" s="223" t="s">
        <v>199</v>
      </c>
      <c r="D75" s="317">
        <v>230</v>
      </c>
      <c r="E75" s="318">
        <v>42</v>
      </c>
      <c r="F75" s="216"/>
      <c r="G75" s="216"/>
      <c r="H75" s="316" t="s">
        <v>290</v>
      </c>
      <c r="I75" s="243" t="s">
        <v>291</v>
      </c>
      <c r="J75" s="217"/>
      <c r="K75" s="218"/>
      <c r="L75" s="218"/>
      <c r="M75" s="219"/>
      <c r="N75" s="187">
        <v>3</v>
      </c>
      <c r="O75" s="187" t="str">
        <f t="shared" si="33"/>
        <v>사</v>
      </c>
      <c r="P75" s="156" t="str">
        <f t="shared" si="34"/>
        <v>전사</v>
      </c>
      <c r="Q75" s="157"/>
      <c r="R75" s="321">
        <v>76500</v>
      </c>
      <c r="S75" s="321">
        <f t="shared" si="35"/>
        <v>76500</v>
      </c>
      <c r="T75" s="321">
        <f t="shared" si="36"/>
        <v>0</v>
      </c>
      <c r="U75" s="321">
        <f t="shared" si="37"/>
        <v>3213000</v>
      </c>
      <c r="V75" s="322">
        <f t="shared" si="38"/>
        <v>6426000</v>
      </c>
      <c r="W75" s="322">
        <f t="shared" si="38"/>
        <v>9639000</v>
      </c>
      <c r="X75" s="322">
        <f t="shared" si="38"/>
        <v>12852000</v>
      </c>
    </row>
    <row r="76" spans="1:24" s="158" customFormat="1" ht="30" customHeight="1">
      <c r="A76" s="215"/>
      <c r="B76" s="222" t="s">
        <v>198</v>
      </c>
      <c r="C76" s="223" t="s">
        <v>192</v>
      </c>
      <c r="D76" s="317">
        <v>258</v>
      </c>
      <c r="E76" s="318">
        <v>12</v>
      </c>
      <c r="F76" s="216"/>
      <c r="G76" s="216"/>
      <c r="H76" s="316" t="s">
        <v>223</v>
      </c>
      <c r="I76" s="243" t="s">
        <v>224</v>
      </c>
      <c r="J76" s="217"/>
      <c r="K76" s="218"/>
      <c r="L76" s="218"/>
      <c r="M76" s="219"/>
      <c r="N76" s="187">
        <v>3</v>
      </c>
      <c r="O76" s="187" t="str">
        <f t="shared" si="33"/>
        <v>사</v>
      </c>
      <c r="P76" s="156" t="str">
        <f t="shared" si="34"/>
        <v>대사</v>
      </c>
      <c r="Q76" s="157"/>
      <c r="R76" s="321">
        <v>125300</v>
      </c>
      <c r="S76" s="321">
        <f t="shared" si="35"/>
        <v>125300</v>
      </c>
      <c r="T76" s="321">
        <f t="shared" si="36"/>
        <v>0</v>
      </c>
      <c r="U76" s="321">
        <f t="shared" si="37"/>
        <v>1503600</v>
      </c>
      <c r="V76" s="322">
        <f t="shared" si="38"/>
        <v>3007200</v>
      </c>
      <c r="W76" s="322">
        <f t="shared" si="38"/>
        <v>4510800</v>
      </c>
      <c r="X76" s="322">
        <f t="shared" si="38"/>
        <v>6014400</v>
      </c>
    </row>
    <row r="77" spans="1:24" s="158" customFormat="1" ht="30" customHeight="1">
      <c r="A77" s="323"/>
      <c r="B77" s="222" t="s">
        <v>306</v>
      </c>
      <c r="C77" s="223" t="s">
        <v>132</v>
      </c>
      <c r="D77" s="324">
        <v>7</v>
      </c>
      <c r="E77" s="325"/>
      <c r="F77" s="216"/>
      <c r="G77" s="216"/>
      <c r="H77" s="316" t="s">
        <v>317</v>
      </c>
      <c r="I77" s="243" t="s">
        <v>278</v>
      </c>
      <c r="J77" s="217"/>
      <c r="K77" s="218"/>
      <c r="L77" s="218"/>
      <c r="M77" s="219"/>
      <c r="N77" s="187"/>
      <c r="O77" s="187"/>
      <c r="P77" s="156"/>
      <c r="Q77" s="157"/>
      <c r="R77" s="321"/>
      <c r="S77" s="321"/>
      <c r="T77" s="321"/>
      <c r="U77" s="321"/>
      <c r="V77" s="322"/>
      <c r="W77" s="322"/>
      <c r="X77" s="322"/>
    </row>
    <row r="78" spans="1:24" s="158" customFormat="1" ht="30" customHeight="1">
      <c r="A78" s="323"/>
      <c r="B78" s="222" t="s">
        <v>307</v>
      </c>
      <c r="C78" s="223" t="s">
        <v>132</v>
      </c>
      <c r="D78" s="324">
        <v>169</v>
      </c>
      <c r="E78" s="325"/>
      <c r="F78" s="216"/>
      <c r="G78" s="216"/>
      <c r="H78" s="316" t="s">
        <v>270</v>
      </c>
      <c r="I78" s="243" t="s">
        <v>269</v>
      </c>
      <c r="J78" s="217"/>
      <c r="K78" s="218"/>
      <c r="L78" s="218"/>
      <c r="M78" s="219"/>
      <c r="N78" s="187"/>
      <c r="O78" s="187"/>
      <c r="P78" s="156"/>
      <c r="Q78" s="157"/>
      <c r="R78" s="321"/>
      <c r="S78" s="321"/>
      <c r="T78" s="321"/>
      <c r="U78" s="321"/>
      <c r="V78" s="322"/>
      <c r="W78" s="322"/>
      <c r="X78" s="322"/>
    </row>
    <row r="79" spans="1:24" s="158" customFormat="1" ht="30" customHeight="1">
      <c r="A79" s="323"/>
      <c r="B79" s="222" t="s">
        <v>308</v>
      </c>
      <c r="C79" s="223" t="s">
        <v>132</v>
      </c>
      <c r="D79" s="324">
        <v>50</v>
      </c>
      <c r="E79" s="325"/>
      <c r="F79" s="216"/>
      <c r="G79" s="216"/>
      <c r="H79" s="316" t="s">
        <v>242</v>
      </c>
      <c r="I79" s="243"/>
      <c r="J79" s="217"/>
      <c r="K79" s="218"/>
      <c r="L79" s="218"/>
      <c r="M79" s="219"/>
      <c r="N79" s="187"/>
      <c r="O79" s="187"/>
      <c r="P79" s="156"/>
      <c r="Q79" s="157"/>
      <c r="R79" s="321"/>
      <c r="S79" s="321"/>
      <c r="T79" s="321"/>
      <c r="U79" s="321"/>
      <c r="V79" s="322"/>
      <c r="W79" s="322"/>
      <c r="X79" s="322"/>
    </row>
    <row r="80" spans="1:24" s="158" customFormat="1" ht="30" customHeight="1">
      <c r="A80" s="323"/>
      <c r="B80" s="222" t="s">
        <v>197</v>
      </c>
      <c r="C80" s="223" t="s">
        <v>312</v>
      </c>
      <c r="D80" s="324">
        <v>15</v>
      </c>
      <c r="E80" s="325"/>
      <c r="F80" s="216"/>
      <c r="G80" s="216"/>
      <c r="H80" s="316" t="s">
        <v>289</v>
      </c>
      <c r="I80" s="243" t="s">
        <v>286</v>
      </c>
      <c r="J80" s="217"/>
      <c r="K80" s="218"/>
      <c r="L80" s="218"/>
      <c r="M80" s="219"/>
      <c r="N80" s="187"/>
      <c r="O80" s="187"/>
      <c r="P80" s="156"/>
      <c r="Q80" s="157"/>
      <c r="R80" s="321"/>
      <c r="S80" s="321"/>
      <c r="T80" s="321"/>
      <c r="U80" s="321"/>
      <c r="V80" s="322"/>
      <c r="W80" s="322"/>
      <c r="X80" s="322"/>
    </row>
    <row r="81" spans="1:24" s="158" customFormat="1" ht="30" customHeight="1">
      <c r="A81" s="323"/>
      <c r="B81" s="222">
        <v>822</v>
      </c>
      <c r="C81" s="223" t="s">
        <v>312</v>
      </c>
      <c r="D81" s="317">
        <v>230</v>
      </c>
      <c r="E81" s="318"/>
      <c r="F81" s="216"/>
      <c r="G81" s="216"/>
      <c r="H81" s="316" t="s">
        <v>290</v>
      </c>
      <c r="I81" s="243" t="s">
        <v>291</v>
      </c>
      <c r="J81" s="217"/>
      <c r="K81" s="218"/>
      <c r="L81" s="218"/>
      <c r="M81" s="219"/>
      <c r="N81" s="187"/>
      <c r="O81" s="187"/>
      <c r="P81" s="156"/>
      <c r="Q81" s="157"/>
      <c r="R81" s="321"/>
      <c r="S81" s="321"/>
      <c r="T81" s="321"/>
      <c r="U81" s="321"/>
      <c r="V81" s="322"/>
      <c r="W81" s="322"/>
      <c r="X81" s="322"/>
    </row>
    <row r="82" spans="1:24" s="158" customFormat="1" ht="30" customHeight="1">
      <c r="A82" s="323"/>
      <c r="B82" s="222" t="s">
        <v>309</v>
      </c>
      <c r="C82" s="223" t="s">
        <v>133</v>
      </c>
      <c r="D82" s="317">
        <v>51</v>
      </c>
      <c r="E82" s="318"/>
      <c r="F82" s="216"/>
      <c r="G82" s="216"/>
      <c r="H82" s="316" t="s">
        <v>205</v>
      </c>
      <c r="I82" s="243"/>
      <c r="J82" s="217"/>
      <c r="K82" s="218"/>
      <c r="L82" s="218"/>
      <c r="M82" s="219"/>
      <c r="N82" s="187"/>
      <c r="O82" s="187"/>
      <c r="P82" s="156"/>
      <c r="Q82" s="157"/>
      <c r="R82" s="321"/>
      <c r="S82" s="321"/>
      <c r="T82" s="321"/>
      <c r="U82" s="321"/>
      <c r="V82" s="322"/>
      <c r="W82" s="322"/>
      <c r="X82" s="322"/>
    </row>
    <row r="83" spans="1:24" s="158" customFormat="1" ht="30" customHeight="1">
      <c r="A83" s="323"/>
      <c r="B83" s="222">
        <v>848</v>
      </c>
      <c r="C83" s="223" t="s">
        <v>134</v>
      </c>
      <c r="D83" s="317">
        <v>346</v>
      </c>
      <c r="E83" s="318"/>
      <c r="F83" s="216"/>
      <c r="G83" s="216"/>
      <c r="H83" s="316" t="s">
        <v>225</v>
      </c>
      <c r="I83" s="243" t="s">
        <v>226</v>
      </c>
      <c r="J83" s="217"/>
      <c r="K83" s="218"/>
      <c r="L83" s="218"/>
      <c r="M83" s="219"/>
      <c r="N83" s="187"/>
      <c r="O83" s="187"/>
      <c r="P83" s="156"/>
      <c r="Q83" s="157"/>
      <c r="R83" s="321"/>
      <c r="S83" s="321"/>
      <c r="T83" s="321"/>
      <c r="U83" s="321"/>
      <c r="V83" s="322"/>
      <c r="W83" s="322"/>
      <c r="X83" s="322"/>
    </row>
    <row r="84" spans="1:24" s="158" customFormat="1" ht="30" customHeight="1">
      <c r="A84" s="323"/>
      <c r="B84" s="222">
        <v>849</v>
      </c>
      <c r="C84" s="223" t="s">
        <v>134</v>
      </c>
      <c r="D84" s="317">
        <v>602</v>
      </c>
      <c r="E84" s="318"/>
      <c r="F84" s="216"/>
      <c r="G84" s="216"/>
      <c r="H84" s="316" t="s">
        <v>320</v>
      </c>
      <c r="I84" s="243" t="s">
        <v>321</v>
      </c>
      <c r="J84" s="217"/>
      <c r="K84" s="218"/>
      <c r="L84" s="218"/>
      <c r="M84" s="219"/>
      <c r="N84" s="187"/>
      <c r="O84" s="187"/>
      <c r="P84" s="156"/>
      <c r="Q84" s="157"/>
      <c r="R84" s="321"/>
      <c r="S84" s="321"/>
      <c r="T84" s="321"/>
      <c r="U84" s="321"/>
      <c r="V84" s="322"/>
      <c r="W84" s="322"/>
      <c r="X84" s="322"/>
    </row>
    <row r="85" spans="1:24" s="158" customFormat="1" ht="30" customHeight="1">
      <c r="A85" s="323"/>
      <c r="B85" s="222">
        <v>790</v>
      </c>
      <c r="C85" s="223" t="s">
        <v>134</v>
      </c>
      <c r="D85" s="317">
        <v>843</v>
      </c>
      <c r="E85" s="318"/>
      <c r="F85" s="216"/>
      <c r="G85" s="216"/>
      <c r="H85" s="316" t="s">
        <v>233</v>
      </c>
      <c r="I85" s="243" t="s">
        <v>322</v>
      </c>
      <c r="J85" s="217"/>
      <c r="K85" s="218"/>
      <c r="L85" s="218"/>
      <c r="M85" s="219"/>
      <c r="N85" s="187"/>
      <c r="O85" s="187"/>
      <c r="P85" s="156"/>
      <c r="Q85" s="157"/>
      <c r="R85" s="321"/>
      <c r="S85" s="321"/>
      <c r="T85" s="321"/>
      <c r="U85" s="321"/>
      <c r="V85" s="322"/>
      <c r="W85" s="322"/>
      <c r="X85" s="322"/>
    </row>
    <row r="86" spans="1:24" s="158" customFormat="1" ht="30" customHeight="1">
      <c r="A86" s="323"/>
      <c r="B86" s="222">
        <v>863</v>
      </c>
      <c r="C86" s="223" t="s">
        <v>131</v>
      </c>
      <c r="D86" s="317">
        <v>288</v>
      </c>
      <c r="E86" s="318"/>
      <c r="F86" s="216"/>
      <c r="G86" s="216"/>
      <c r="H86" s="316" t="s">
        <v>323</v>
      </c>
      <c r="I86" s="243" t="s">
        <v>324</v>
      </c>
      <c r="J86" s="217"/>
      <c r="K86" s="218"/>
      <c r="L86" s="218"/>
      <c r="M86" s="219"/>
      <c r="N86" s="187"/>
      <c r="O86" s="187"/>
      <c r="P86" s="156"/>
      <c r="Q86" s="157"/>
      <c r="R86" s="321"/>
      <c r="S86" s="321"/>
      <c r="T86" s="321"/>
      <c r="U86" s="321"/>
      <c r="V86" s="322"/>
      <c r="W86" s="322"/>
      <c r="X86" s="322"/>
    </row>
    <row r="87" spans="1:24" s="158" customFormat="1" ht="30" customHeight="1">
      <c r="A87" s="323"/>
      <c r="B87" s="222" t="s">
        <v>310</v>
      </c>
      <c r="C87" s="223" t="s">
        <v>131</v>
      </c>
      <c r="D87" s="317">
        <v>417</v>
      </c>
      <c r="E87" s="318"/>
      <c r="F87" s="216"/>
      <c r="G87" s="216"/>
      <c r="H87" s="316" t="s">
        <v>323</v>
      </c>
      <c r="I87" s="243" t="s">
        <v>324</v>
      </c>
      <c r="J87" s="217"/>
      <c r="K87" s="218"/>
      <c r="L87" s="218"/>
      <c r="M87" s="219"/>
      <c r="N87" s="187"/>
      <c r="O87" s="187"/>
      <c r="P87" s="156"/>
      <c r="Q87" s="157"/>
      <c r="R87" s="321"/>
      <c r="S87" s="321"/>
      <c r="T87" s="321"/>
      <c r="U87" s="321"/>
      <c r="V87" s="322"/>
      <c r="W87" s="322"/>
      <c r="X87" s="322"/>
    </row>
    <row r="88" spans="1:24" s="158" customFormat="1" ht="30" customHeight="1">
      <c r="A88" s="323"/>
      <c r="B88" s="222" t="s">
        <v>311</v>
      </c>
      <c r="C88" s="223" t="s">
        <v>131</v>
      </c>
      <c r="D88" s="317">
        <v>668</v>
      </c>
      <c r="E88" s="318"/>
      <c r="F88" s="216"/>
      <c r="G88" s="216"/>
      <c r="H88" s="316" t="s">
        <v>325</v>
      </c>
      <c r="I88" s="243" t="s">
        <v>326</v>
      </c>
      <c r="J88" s="217"/>
      <c r="K88" s="218"/>
      <c r="L88" s="218"/>
      <c r="M88" s="219"/>
      <c r="N88" s="187"/>
      <c r="O88" s="187"/>
      <c r="P88" s="156"/>
      <c r="Q88" s="157"/>
      <c r="R88" s="321"/>
      <c r="S88" s="321"/>
      <c r="T88" s="321"/>
      <c r="U88" s="321"/>
      <c r="V88" s="322"/>
      <c r="W88" s="322"/>
      <c r="X88" s="322"/>
    </row>
    <row r="89" spans="1:24" s="158" customFormat="1" ht="30" customHeight="1">
      <c r="A89" s="323"/>
      <c r="B89" s="222">
        <v>839</v>
      </c>
      <c r="C89" s="223" t="s">
        <v>131</v>
      </c>
      <c r="D89" s="317">
        <v>661</v>
      </c>
      <c r="E89" s="318"/>
      <c r="F89" s="216"/>
      <c r="G89" s="216"/>
      <c r="H89" s="316" t="s">
        <v>327</v>
      </c>
      <c r="I89" s="243" t="s">
        <v>328</v>
      </c>
      <c r="J89" s="217"/>
      <c r="K89" s="218"/>
      <c r="L89" s="218"/>
      <c r="M89" s="219"/>
      <c r="N89" s="187"/>
      <c r="O89" s="187"/>
      <c r="P89" s="156"/>
      <c r="Q89" s="157"/>
      <c r="R89" s="321"/>
      <c r="S89" s="321"/>
      <c r="T89" s="321"/>
      <c r="U89" s="321"/>
      <c r="V89" s="322"/>
      <c r="W89" s="322"/>
      <c r="X89" s="322"/>
    </row>
    <row r="90" spans="1:24" s="158" customFormat="1" ht="30" customHeight="1">
      <c r="A90" s="323"/>
      <c r="B90" s="222" t="s">
        <v>329</v>
      </c>
      <c r="C90" s="223" t="s">
        <v>134</v>
      </c>
      <c r="D90" s="317">
        <v>984</v>
      </c>
      <c r="E90" s="318"/>
      <c r="F90" s="216"/>
      <c r="G90" s="216"/>
      <c r="H90" s="316" t="s">
        <v>270</v>
      </c>
      <c r="I90" s="243" t="s">
        <v>269</v>
      </c>
      <c r="J90" s="217"/>
      <c r="K90" s="218"/>
      <c r="L90" s="218"/>
      <c r="M90" s="219"/>
      <c r="N90" s="187"/>
      <c r="O90" s="187"/>
      <c r="P90" s="156"/>
      <c r="Q90" s="157"/>
      <c r="R90" s="321"/>
      <c r="S90" s="321"/>
      <c r="T90" s="321"/>
      <c r="U90" s="321"/>
      <c r="V90" s="322"/>
      <c r="W90" s="322"/>
      <c r="X90" s="322"/>
    </row>
    <row r="91" spans="1:24" s="158" customFormat="1" ht="30" customHeight="1">
      <c r="A91" s="215"/>
      <c r="B91" s="222"/>
      <c r="C91" s="223"/>
      <c r="D91" s="317"/>
      <c r="E91" s="318"/>
      <c r="F91" s="216"/>
      <c r="G91" s="216"/>
      <c r="H91" s="316"/>
      <c r="I91" s="243"/>
      <c r="J91" s="217"/>
      <c r="K91" s="218"/>
      <c r="L91" s="218"/>
      <c r="M91" s="219"/>
      <c r="N91" s="187"/>
      <c r="O91" s="187"/>
      <c r="P91" s="156"/>
      <c r="Q91" s="157"/>
      <c r="R91" s="321"/>
      <c r="S91" s="321"/>
      <c r="T91" s="321"/>
      <c r="U91" s="321"/>
      <c r="V91" s="322"/>
      <c r="W91" s="322"/>
      <c r="X91" s="322"/>
    </row>
    <row r="92" spans="1:24" s="158" customFormat="1" ht="30" customHeight="1">
      <c r="A92" s="215"/>
      <c r="B92" s="222"/>
      <c r="C92" s="223"/>
      <c r="D92" s="317"/>
      <c r="E92" s="318"/>
      <c r="F92" s="216"/>
      <c r="G92" s="216"/>
      <c r="H92" s="316"/>
      <c r="I92" s="243"/>
      <c r="J92" s="217"/>
      <c r="K92" s="218"/>
      <c r="L92" s="218"/>
      <c r="M92" s="219"/>
      <c r="N92" s="187"/>
      <c r="O92" s="187"/>
      <c r="P92" s="156"/>
      <c r="Q92" s="157"/>
      <c r="R92" s="321"/>
      <c r="S92" s="321"/>
      <c r="T92" s="321"/>
      <c r="U92" s="321"/>
      <c r="V92" s="322"/>
      <c r="W92" s="322"/>
      <c r="X92" s="322"/>
    </row>
    <row r="93" spans="1:24" s="158" customFormat="1" ht="30" customHeight="1">
      <c r="A93" s="215"/>
      <c r="B93" s="222"/>
      <c r="C93" s="223"/>
      <c r="D93" s="317"/>
      <c r="E93" s="318"/>
      <c r="F93" s="216"/>
      <c r="G93" s="216"/>
      <c r="H93" s="316"/>
      <c r="I93" s="243"/>
      <c r="J93" s="217"/>
      <c r="K93" s="218"/>
      <c r="L93" s="218"/>
      <c r="M93" s="219"/>
      <c r="N93" s="187"/>
      <c r="O93" s="187"/>
      <c r="P93" s="156"/>
      <c r="Q93" s="157"/>
      <c r="R93" s="321"/>
      <c r="S93" s="321"/>
      <c r="T93" s="321"/>
      <c r="U93" s="321"/>
      <c r="V93" s="322"/>
      <c r="W93" s="322"/>
      <c r="X93" s="322"/>
    </row>
    <row r="94" spans="1:24" s="158" customFormat="1" ht="30" customHeight="1">
      <c r="A94" s="215"/>
      <c r="B94" s="222"/>
      <c r="C94" s="223"/>
      <c r="D94" s="317"/>
      <c r="E94" s="318"/>
      <c r="F94" s="216"/>
      <c r="G94" s="216"/>
      <c r="H94" s="316"/>
      <c r="I94" s="243"/>
      <c r="J94" s="217"/>
      <c r="K94" s="218"/>
      <c r="L94" s="218"/>
      <c r="M94" s="219"/>
      <c r="N94" s="187"/>
      <c r="O94" s="187"/>
      <c r="P94" s="156"/>
      <c r="Q94" s="157"/>
      <c r="R94" s="321"/>
      <c r="S94" s="321"/>
      <c r="T94" s="321"/>
      <c r="U94" s="321"/>
      <c r="V94" s="322"/>
      <c r="W94" s="322"/>
      <c r="X94" s="322"/>
    </row>
    <row r="95" spans="1:24" s="158" customFormat="1" ht="30" customHeight="1">
      <c r="A95" s="215"/>
      <c r="B95" s="222"/>
      <c r="C95" s="223"/>
      <c r="D95" s="317"/>
      <c r="E95" s="318"/>
      <c r="F95" s="216"/>
      <c r="G95" s="216"/>
      <c r="H95" s="316"/>
      <c r="I95" s="243"/>
      <c r="J95" s="217"/>
      <c r="K95" s="218"/>
      <c r="L95" s="218"/>
      <c r="M95" s="219"/>
      <c r="N95" s="187"/>
      <c r="O95" s="187"/>
      <c r="P95" s="156"/>
      <c r="Q95" s="157"/>
      <c r="R95" s="321"/>
      <c r="S95" s="321"/>
      <c r="T95" s="321"/>
      <c r="U95" s="321"/>
      <c r="V95" s="322"/>
      <c r="W95" s="322"/>
      <c r="X95" s="322"/>
    </row>
    <row r="96" spans="1:24" s="158" customFormat="1" ht="30" customHeight="1">
      <c r="A96" s="215"/>
      <c r="B96" s="222"/>
      <c r="C96" s="223"/>
      <c r="D96" s="317"/>
      <c r="E96" s="318"/>
      <c r="F96" s="216"/>
      <c r="G96" s="216"/>
      <c r="H96" s="316"/>
      <c r="I96" s="243"/>
      <c r="J96" s="217"/>
      <c r="K96" s="218"/>
      <c r="L96" s="218"/>
      <c r="M96" s="219"/>
      <c r="N96" s="187"/>
      <c r="O96" s="187"/>
      <c r="P96" s="156"/>
      <c r="Q96" s="157"/>
      <c r="R96" s="321"/>
      <c r="S96" s="321"/>
      <c r="T96" s="321"/>
      <c r="U96" s="321"/>
      <c r="V96" s="322"/>
      <c r="W96" s="322"/>
      <c r="X96" s="322"/>
    </row>
    <row r="97" spans="1:24" s="158" customFormat="1" ht="30" customHeight="1">
      <c r="A97" s="215"/>
      <c r="B97" s="222"/>
      <c r="C97" s="223"/>
      <c r="D97" s="317"/>
      <c r="E97" s="318"/>
      <c r="F97" s="216"/>
      <c r="G97" s="216"/>
      <c r="H97" s="316"/>
      <c r="I97" s="243"/>
      <c r="J97" s="217"/>
      <c r="K97" s="218"/>
      <c r="L97" s="218"/>
      <c r="M97" s="219"/>
      <c r="N97" s="187"/>
      <c r="O97" s="187"/>
      <c r="P97" s="156"/>
      <c r="Q97" s="157"/>
      <c r="R97" s="321"/>
      <c r="S97" s="321"/>
      <c r="T97" s="321"/>
      <c r="U97" s="321"/>
      <c r="V97" s="322"/>
      <c r="W97" s="322"/>
      <c r="X97" s="322"/>
    </row>
    <row r="98" spans="1:24" s="158" customFormat="1" ht="30" customHeight="1">
      <c r="A98" s="215"/>
      <c r="B98" s="222"/>
      <c r="C98" s="223"/>
      <c r="D98" s="317"/>
      <c r="E98" s="318"/>
      <c r="F98" s="216"/>
      <c r="G98" s="216"/>
      <c r="H98" s="316"/>
      <c r="I98" s="243"/>
      <c r="J98" s="217"/>
      <c r="K98" s="218"/>
      <c r="L98" s="218"/>
      <c r="M98" s="219"/>
      <c r="N98" s="187"/>
      <c r="O98" s="187"/>
      <c r="P98" s="156"/>
      <c r="Q98" s="157"/>
      <c r="R98" s="321"/>
      <c r="S98" s="321"/>
      <c r="T98" s="321"/>
      <c r="U98" s="321"/>
      <c r="V98" s="322"/>
      <c r="W98" s="322"/>
      <c r="X98" s="322"/>
    </row>
    <row r="99" spans="1:24" s="158" customFormat="1" ht="30" customHeight="1">
      <c r="A99" s="193"/>
      <c r="B99" s="204"/>
      <c r="C99" s="204"/>
      <c r="D99" s="205"/>
      <c r="E99" s="205"/>
      <c r="F99" s="194"/>
      <c r="G99" s="194"/>
      <c r="H99" s="206"/>
      <c r="I99" s="206"/>
      <c r="J99" s="196"/>
      <c r="K99" s="196"/>
      <c r="L99" s="196"/>
      <c r="M99" s="197"/>
      <c r="N99" s="187"/>
      <c r="O99" s="187"/>
      <c r="P99" s="156"/>
      <c r="Q99" s="157"/>
      <c r="R99" s="321"/>
      <c r="S99" s="321"/>
      <c r="T99" s="321"/>
      <c r="U99" s="321"/>
      <c r="V99" s="322"/>
      <c r="W99" s="322"/>
      <c r="X99" s="322"/>
    </row>
    <row r="100" spans="1:24" s="158" customFormat="1" ht="30" customHeight="1">
      <c r="A100" s="193"/>
      <c r="B100" s="207"/>
      <c r="C100" s="207"/>
      <c r="D100" s="205"/>
      <c r="E100" s="205"/>
      <c r="F100" s="194"/>
      <c r="G100" s="194"/>
      <c r="H100" s="208"/>
      <c r="I100" s="206"/>
      <c r="J100" s="196"/>
      <c r="K100" s="196"/>
      <c r="L100" s="196"/>
      <c r="M100" s="197"/>
      <c r="N100" s="187"/>
      <c r="O100" s="187"/>
      <c r="P100" s="156"/>
      <c r="Q100" s="157"/>
      <c r="R100" s="321"/>
      <c r="S100" s="321"/>
      <c r="T100" s="321"/>
      <c r="U100" s="321"/>
      <c r="V100" s="322"/>
      <c r="W100" s="322"/>
      <c r="X100" s="322"/>
    </row>
    <row r="101" spans="1:24" s="158" customFormat="1" ht="30" customHeight="1">
      <c r="A101" s="193"/>
      <c r="B101" s="204"/>
      <c r="C101" s="204"/>
      <c r="D101" s="205"/>
      <c r="E101" s="205"/>
      <c r="F101" s="194"/>
      <c r="G101" s="194"/>
      <c r="H101" s="206"/>
      <c r="I101" s="206"/>
      <c r="J101" s="196"/>
      <c r="K101" s="196"/>
      <c r="L101" s="196"/>
      <c r="M101" s="197"/>
      <c r="N101" s="187"/>
      <c r="O101" s="187"/>
      <c r="P101" s="156"/>
      <c r="Q101" s="157"/>
      <c r="R101" s="321"/>
      <c r="S101" s="321"/>
      <c r="T101" s="321"/>
      <c r="U101" s="321"/>
      <c r="V101" s="322"/>
      <c r="W101" s="322"/>
      <c r="X101" s="322"/>
    </row>
    <row r="102" spans="1:24" s="158" customFormat="1" ht="30" customHeight="1">
      <c r="A102" s="209" t="s">
        <v>102</v>
      </c>
      <c r="B102" s="210"/>
      <c r="C102" s="210"/>
      <c r="D102" s="211">
        <f>SUBTOTAL(9,D3:D101)</f>
        <v>157268</v>
      </c>
      <c r="E102" s="211">
        <f>SUBTOTAL(9,E3:E101)</f>
        <v>15360</v>
      </c>
      <c r="F102" s="212"/>
      <c r="G102" s="212"/>
      <c r="H102" s="212"/>
      <c r="I102" s="212"/>
      <c r="J102" s="212"/>
      <c r="K102" s="212"/>
      <c r="L102" s="212"/>
      <c r="M102" s="213"/>
      <c r="N102" s="190"/>
      <c r="O102" s="190"/>
      <c r="P102" s="156" t="str">
        <f t="shared" ref="P102:P165" si="39">CONCATENATE(C102,H102)</f>
        <v/>
      </c>
      <c r="Q102" s="157"/>
      <c r="R102" s="321"/>
      <c r="S102" s="321">
        <f>COUNT(S3:S101)</f>
        <v>63</v>
      </c>
      <c r="T102" s="321"/>
      <c r="U102" s="321"/>
      <c r="V102" s="322"/>
      <c r="W102" s="322"/>
      <c r="X102" s="322"/>
    </row>
    <row r="103" spans="1:24" ht="24.95" customHeight="1">
      <c r="A103" s="110"/>
      <c r="B103" s="91"/>
      <c r="C103" s="149"/>
      <c r="D103" s="153"/>
      <c r="E103" s="153"/>
      <c r="F103" s="90"/>
      <c r="G103" s="90"/>
      <c r="H103" s="90"/>
      <c r="I103" s="90"/>
      <c r="J103" s="90"/>
      <c r="K103" s="90"/>
      <c r="L103" s="90"/>
      <c r="M103" s="149"/>
      <c r="N103" s="192"/>
      <c r="O103" s="192"/>
      <c r="P103" s="111" t="str">
        <f t="shared" si="39"/>
        <v/>
      </c>
      <c r="Q103" s="112"/>
      <c r="R103" s="321"/>
      <c r="S103" s="321">
        <f>IF(N124=3,R124,)</f>
        <v>0</v>
      </c>
      <c r="T103" s="321">
        <f>IF(OR(N124=1,N124=2),R124,)</f>
        <v>0</v>
      </c>
      <c r="U103" s="321">
        <f>SUBTOTAL(9,U3:U102)</f>
        <v>350189770</v>
      </c>
      <c r="V103" s="322">
        <f>ROUND($U103*V$2,0)</f>
        <v>700379540</v>
      </c>
      <c r="W103" s="322">
        <f>ROUND($U103*W$2,0)</f>
        <v>1050569310</v>
      </c>
      <c r="X103" s="322">
        <f>ROUND($U103*X$2,0)</f>
        <v>1400759080</v>
      </c>
    </row>
    <row r="104" spans="1:24" ht="24.95" customHeight="1">
      <c r="A104" s="110"/>
      <c r="B104" s="91"/>
      <c r="C104" s="149"/>
      <c r="D104" s="153"/>
      <c r="E104" s="153"/>
      <c r="F104" s="90"/>
      <c r="G104" s="90"/>
      <c r="H104" s="90"/>
      <c r="I104" s="90"/>
      <c r="J104" s="90"/>
      <c r="K104" s="90"/>
      <c r="L104" s="90"/>
      <c r="M104" s="149"/>
      <c r="N104" s="192"/>
      <c r="O104" s="192"/>
      <c r="P104" s="111" t="str">
        <f t="shared" si="39"/>
        <v/>
      </c>
      <c r="Q104" s="112"/>
      <c r="R104" s="321"/>
    </row>
    <row r="105" spans="1:24" ht="24.95" customHeight="1">
      <c r="A105" s="110"/>
      <c r="B105" s="91"/>
      <c r="C105" s="149"/>
      <c r="D105" s="153"/>
      <c r="E105" s="153"/>
      <c r="F105" s="90"/>
      <c r="G105" s="90"/>
      <c r="H105" s="90"/>
      <c r="I105" s="90"/>
      <c r="J105" s="90"/>
      <c r="K105" s="90"/>
      <c r="L105" s="90"/>
      <c r="M105" s="149"/>
      <c r="N105" s="192"/>
      <c r="O105" s="192"/>
      <c r="P105" s="111" t="str">
        <f t="shared" si="39"/>
        <v/>
      </c>
      <c r="Q105" s="112"/>
      <c r="R105" s="321"/>
    </row>
    <row r="106" spans="1:24" ht="24.95" customHeight="1">
      <c r="A106" s="110"/>
      <c r="B106" s="91"/>
      <c r="C106" s="149"/>
      <c r="D106" s="153"/>
      <c r="E106" s="153"/>
      <c r="F106" s="90"/>
      <c r="G106" s="90"/>
      <c r="H106" s="90"/>
      <c r="I106" s="90"/>
      <c r="J106" s="90"/>
      <c r="K106" s="90"/>
      <c r="L106" s="90"/>
      <c r="M106" s="149"/>
      <c r="N106" s="192"/>
      <c r="O106" s="192"/>
      <c r="P106" s="111" t="str">
        <f t="shared" si="39"/>
        <v/>
      </c>
      <c r="Q106" s="112"/>
      <c r="R106" s="321"/>
    </row>
    <row r="107" spans="1:24" ht="32.1" customHeight="1">
      <c r="A107" s="110"/>
      <c r="B107" s="91"/>
      <c r="C107" s="91"/>
      <c r="D107" s="153"/>
      <c r="E107" s="153"/>
      <c r="F107" s="90"/>
      <c r="G107" s="90"/>
      <c r="H107" s="90"/>
      <c r="I107" s="90"/>
      <c r="J107" s="90"/>
      <c r="K107" s="90"/>
      <c r="L107" s="90"/>
      <c r="M107" s="149"/>
      <c r="N107" s="192"/>
      <c r="O107" s="192"/>
      <c r="P107" s="111" t="str">
        <f t="shared" si="39"/>
        <v/>
      </c>
      <c r="Q107" s="112"/>
      <c r="R107" s="321"/>
    </row>
    <row r="108" spans="1:24" ht="32.1" customHeight="1">
      <c r="A108" s="110"/>
      <c r="B108" s="91"/>
      <c r="C108" s="91"/>
      <c r="D108" s="153"/>
      <c r="E108" s="153"/>
      <c r="F108" s="90"/>
      <c r="G108" s="90"/>
      <c r="H108" s="90"/>
      <c r="I108" s="90"/>
      <c r="J108" s="90"/>
      <c r="K108" s="90"/>
      <c r="L108" s="90"/>
      <c r="M108" s="149"/>
      <c r="N108" s="192"/>
      <c r="O108" s="192"/>
      <c r="P108" s="111" t="str">
        <f t="shared" si="39"/>
        <v/>
      </c>
      <c r="Q108" s="112"/>
      <c r="R108" s="321"/>
    </row>
    <row r="109" spans="1:24" ht="32.1" customHeight="1">
      <c r="D109" s="155"/>
      <c r="E109" s="154"/>
      <c r="M109" s="110"/>
      <c r="N109" s="151"/>
      <c r="O109" s="151"/>
      <c r="P109" s="111" t="str">
        <f t="shared" si="39"/>
        <v/>
      </c>
      <c r="Q109" s="112"/>
      <c r="R109" s="321"/>
    </row>
    <row r="110" spans="1:24" ht="32.1" customHeight="1">
      <c r="D110" s="155"/>
      <c r="E110" s="154"/>
      <c r="M110" s="90"/>
      <c r="N110" s="150"/>
      <c r="O110" s="150"/>
      <c r="P110" s="111" t="str">
        <f t="shared" si="39"/>
        <v/>
      </c>
      <c r="Q110" s="112"/>
      <c r="R110" s="321"/>
    </row>
    <row r="111" spans="1:24" ht="32.1" customHeight="1">
      <c r="D111" s="155"/>
      <c r="E111" s="154"/>
      <c r="M111" s="90"/>
      <c r="N111" s="150"/>
      <c r="O111" s="150"/>
      <c r="P111" s="111" t="str">
        <f t="shared" si="39"/>
        <v/>
      </c>
      <c r="Q111" s="112"/>
      <c r="R111" s="321"/>
    </row>
    <row r="112" spans="1:24" ht="32.1" customHeight="1">
      <c r="D112" s="155"/>
      <c r="E112" s="154"/>
      <c r="M112" s="90"/>
      <c r="N112" s="150"/>
      <c r="O112" s="150"/>
      <c r="P112" s="111" t="str">
        <f t="shared" si="39"/>
        <v/>
      </c>
      <c r="Q112" s="112"/>
      <c r="R112" s="321"/>
    </row>
    <row r="113" spans="4:18" ht="32.1" customHeight="1">
      <c r="D113" s="155"/>
      <c r="E113" s="154"/>
      <c r="M113" s="90"/>
      <c r="N113" s="150"/>
      <c r="O113" s="150"/>
      <c r="P113" s="111" t="str">
        <f t="shared" si="39"/>
        <v/>
      </c>
      <c r="Q113" s="112"/>
      <c r="R113" s="321"/>
    </row>
    <row r="114" spans="4:18" ht="32.1" customHeight="1">
      <c r="D114" s="155"/>
      <c r="E114" s="154"/>
      <c r="M114" s="90"/>
      <c r="N114" s="150"/>
      <c r="O114" s="150"/>
      <c r="P114" s="111" t="str">
        <f t="shared" si="39"/>
        <v/>
      </c>
      <c r="Q114" s="112"/>
      <c r="R114" s="321"/>
    </row>
    <row r="115" spans="4:18" ht="32.1" customHeight="1">
      <c r="D115" s="155"/>
      <c r="E115" s="154"/>
      <c r="M115" s="90"/>
      <c r="N115" s="150"/>
      <c r="O115" s="150"/>
      <c r="P115" s="111" t="str">
        <f t="shared" si="39"/>
        <v/>
      </c>
      <c r="Q115" s="112"/>
      <c r="R115" s="321"/>
    </row>
    <row r="116" spans="4:18" ht="32.1" customHeight="1">
      <c r="D116" s="155"/>
      <c r="E116" s="154"/>
      <c r="M116" s="90"/>
      <c r="N116" s="150"/>
      <c r="O116" s="150"/>
      <c r="P116" s="111" t="str">
        <f t="shared" si="39"/>
        <v/>
      </c>
      <c r="Q116" s="112"/>
      <c r="R116" s="321"/>
    </row>
    <row r="117" spans="4:18" ht="32.1" customHeight="1">
      <c r="D117" s="155"/>
      <c r="E117" s="154"/>
      <c r="M117" s="90"/>
      <c r="N117" s="150"/>
      <c r="O117" s="150"/>
      <c r="P117" s="111" t="str">
        <f t="shared" si="39"/>
        <v/>
      </c>
      <c r="Q117" s="112"/>
      <c r="R117" s="321"/>
    </row>
    <row r="118" spans="4:18" ht="32.1" customHeight="1">
      <c r="D118" s="155"/>
      <c r="E118" s="154"/>
      <c r="M118" s="90"/>
      <c r="N118" s="150"/>
      <c r="O118" s="150"/>
      <c r="P118" s="111" t="str">
        <f t="shared" si="39"/>
        <v/>
      </c>
      <c r="Q118" s="112"/>
      <c r="R118" s="321"/>
    </row>
    <row r="119" spans="4:18" ht="32.1" customHeight="1">
      <c r="D119" s="155"/>
      <c r="E119" s="154"/>
      <c r="M119" s="90"/>
      <c r="N119" s="150"/>
      <c r="O119" s="150"/>
      <c r="P119" s="111" t="str">
        <f t="shared" si="39"/>
        <v/>
      </c>
      <c r="Q119" s="112"/>
      <c r="R119" s="321"/>
    </row>
    <row r="120" spans="4:18" ht="32.1" customHeight="1">
      <c r="D120" s="155"/>
      <c r="E120" s="154"/>
      <c r="M120" s="90"/>
      <c r="N120" s="150"/>
      <c r="O120" s="150"/>
      <c r="P120" s="111" t="str">
        <f t="shared" si="39"/>
        <v/>
      </c>
      <c r="Q120" s="112"/>
      <c r="R120" s="321"/>
    </row>
    <row r="121" spans="4:18" ht="32.1" customHeight="1">
      <c r="D121" s="155"/>
      <c r="E121" s="154"/>
      <c r="M121" s="90"/>
      <c r="N121" s="150"/>
      <c r="O121" s="150"/>
      <c r="P121" s="111" t="str">
        <f t="shared" si="39"/>
        <v/>
      </c>
      <c r="Q121" s="112"/>
      <c r="R121" s="321"/>
    </row>
    <row r="122" spans="4:18" ht="32.1" customHeight="1">
      <c r="D122" s="155"/>
      <c r="E122" s="154"/>
      <c r="M122" s="90"/>
      <c r="N122" s="150"/>
      <c r="O122" s="150"/>
      <c r="P122" s="111" t="str">
        <f t="shared" si="39"/>
        <v/>
      </c>
      <c r="Q122" s="112"/>
      <c r="R122" s="321"/>
    </row>
    <row r="123" spans="4:18" ht="32.1" customHeight="1">
      <c r="D123" s="155"/>
      <c r="E123" s="154"/>
      <c r="M123" s="90"/>
      <c r="N123" s="150"/>
      <c r="O123" s="150"/>
      <c r="P123" s="111" t="str">
        <f t="shared" si="39"/>
        <v/>
      </c>
      <c r="Q123" s="112"/>
      <c r="R123" s="321"/>
    </row>
    <row r="124" spans="4:18" ht="32.1" customHeight="1">
      <c r="D124" s="155"/>
      <c r="E124" s="154"/>
      <c r="M124" s="90"/>
      <c r="N124" s="150"/>
      <c r="O124" s="150"/>
      <c r="P124" s="111" t="str">
        <f t="shared" si="39"/>
        <v/>
      </c>
      <c r="Q124" s="112"/>
      <c r="R124" s="321"/>
    </row>
    <row r="125" spans="4:18" ht="32.1" customHeight="1">
      <c r="D125" s="155"/>
      <c r="E125" s="154"/>
      <c r="M125" s="90"/>
      <c r="N125" s="150"/>
      <c r="O125" s="150"/>
      <c r="P125" s="111" t="str">
        <f t="shared" si="39"/>
        <v/>
      </c>
      <c r="Q125" s="112"/>
    </row>
    <row r="126" spans="4:18" ht="32.1" customHeight="1">
      <c r="D126" s="155"/>
      <c r="E126" s="154"/>
      <c r="M126" s="90"/>
      <c r="N126" s="150"/>
      <c r="O126" s="150"/>
      <c r="P126" s="111" t="str">
        <f t="shared" si="39"/>
        <v/>
      </c>
      <c r="Q126" s="112"/>
    </row>
    <row r="127" spans="4:18" ht="32.1" customHeight="1">
      <c r="D127" s="155"/>
      <c r="E127" s="154"/>
      <c r="M127" s="90"/>
      <c r="N127" s="150"/>
      <c r="O127" s="150"/>
      <c r="P127" s="111" t="str">
        <f t="shared" si="39"/>
        <v/>
      </c>
      <c r="Q127" s="112"/>
    </row>
    <row r="128" spans="4:18" ht="32.1" customHeight="1">
      <c r="D128" s="155"/>
      <c r="E128" s="154"/>
      <c r="M128" s="90"/>
      <c r="N128" s="150"/>
      <c r="O128" s="150"/>
      <c r="P128" s="111" t="str">
        <f t="shared" si="39"/>
        <v/>
      </c>
      <c r="Q128" s="112"/>
    </row>
    <row r="129" spans="4:17" ht="32.1" customHeight="1">
      <c r="D129" s="155"/>
      <c r="E129" s="154"/>
      <c r="M129" s="90"/>
      <c r="N129" s="150"/>
      <c r="O129" s="150"/>
      <c r="P129" s="111" t="str">
        <f t="shared" si="39"/>
        <v/>
      </c>
      <c r="Q129" s="112"/>
    </row>
    <row r="130" spans="4:17" ht="32.1" customHeight="1">
      <c r="D130" s="155"/>
      <c r="E130" s="154"/>
      <c r="M130" s="110"/>
      <c r="N130" s="151"/>
      <c r="O130" s="151"/>
      <c r="P130" s="111" t="str">
        <f t="shared" si="39"/>
        <v/>
      </c>
      <c r="Q130" s="112"/>
    </row>
    <row r="131" spans="4:17" ht="32.1" customHeight="1">
      <c r="D131" s="155"/>
      <c r="E131" s="154"/>
      <c r="P131" s="111" t="str">
        <f t="shared" si="39"/>
        <v/>
      </c>
      <c r="Q131" s="112"/>
    </row>
    <row r="132" spans="4:17" ht="32.1" customHeight="1">
      <c r="D132" s="155"/>
      <c r="E132" s="154"/>
      <c r="P132" s="111" t="str">
        <f t="shared" si="39"/>
        <v/>
      </c>
      <c r="Q132" s="112"/>
    </row>
    <row r="133" spans="4:17" ht="32.1" customHeight="1">
      <c r="D133" s="155"/>
      <c r="E133" s="154"/>
      <c r="P133" s="111" t="str">
        <f t="shared" si="39"/>
        <v/>
      </c>
      <c r="Q133" s="112"/>
    </row>
    <row r="134" spans="4:17" ht="32.1" customHeight="1">
      <c r="D134" s="155"/>
      <c r="E134" s="154"/>
      <c r="P134" s="111" t="str">
        <f t="shared" si="39"/>
        <v/>
      </c>
      <c r="Q134" s="112"/>
    </row>
    <row r="135" spans="4:17" ht="32.1" customHeight="1">
      <c r="D135" s="155"/>
      <c r="E135" s="154"/>
      <c r="P135" s="111" t="str">
        <f t="shared" si="39"/>
        <v/>
      </c>
      <c r="Q135" s="112"/>
    </row>
    <row r="136" spans="4:17" ht="32.1" customHeight="1">
      <c r="D136" s="155"/>
      <c r="E136" s="154"/>
      <c r="P136" s="111" t="str">
        <f t="shared" si="39"/>
        <v/>
      </c>
      <c r="Q136" s="112"/>
    </row>
    <row r="137" spans="4:17" ht="32.1" customHeight="1">
      <c r="D137" s="155"/>
      <c r="E137" s="154"/>
      <c r="P137" s="111" t="str">
        <f t="shared" si="39"/>
        <v/>
      </c>
      <c r="Q137" s="112"/>
    </row>
    <row r="138" spans="4:17" ht="32.1" customHeight="1">
      <c r="D138" s="155"/>
      <c r="E138" s="154"/>
      <c r="P138" s="111" t="str">
        <f t="shared" si="39"/>
        <v/>
      </c>
      <c r="Q138" s="112"/>
    </row>
    <row r="139" spans="4:17" ht="32.1" customHeight="1">
      <c r="D139" s="155"/>
      <c r="E139" s="154"/>
      <c r="P139" s="111" t="str">
        <f t="shared" si="39"/>
        <v/>
      </c>
      <c r="Q139" s="112"/>
    </row>
    <row r="140" spans="4:17" ht="32.1" customHeight="1">
      <c r="D140" s="155"/>
      <c r="E140" s="154"/>
      <c r="P140" s="111" t="str">
        <f t="shared" si="39"/>
        <v/>
      </c>
      <c r="Q140" s="112"/>
    </row>
    <row r="141" spans="4:17" ht="32.1" customHeight="1">
      <c r="D141" s="155"/>
      <c r="E141" s="154"/>
      <c r="P141" s="111" t="str">
        <f t="shared" si="39"/>
        <v/>
      </c>
      <c r="Q141" s="112"/>
    </row>
    <row r="142" spans="4:17" ht="32.1" customHeight="1">
      <c r="D142" s="155"/>
      <c r="E142" s="154"/>
      <c r="P142" s="111" t="str">
        <f t="shared" si="39"/>
        <v/>
      </c>
      <c r="Q142" s="112"/>
    </row>
    <row r="143" spans="4:17" ht="32.1" customHeight="1">
      <c r="D143" s="155"/>
      <c r="E143" s="154"/>
      <c r="P143" s="111" t="str">
        <f t="shared" si="39"/>
        <v/>
      </c>
      <c r="Q143" s="112"/>
    </row>
    <row r="144" spans="4:17" ht="32.1" customHeight="1">
      <c r="D144" s="155"/>
      <c r="E144" s="154"/>
      <c r="P144" s="111" t="str">
        <f t="shared" si="39"/>
        <v/>
      </c>
      <c r="Q144" s="112"/>
    </row>
    <row r="145" spans="4:17" ht="32.1" customHeight="1">
      <c r="D145" s="155"/>
      <c r="E145" s="154"/>
      <c r="P145" s="111" t="str">
        <f t="shared" si="39"/>
        <v/>
      </c>
      <c r="Q145" s="112"/>
    </row>
    <row r="146" spans="4:17" ht="32.1" customHeight="1">
      <c r="D146" s="155"/>
      <c r="E146" s="154"/>
      <c r="P146" s="111" t="str">
        <f t="shared" si="39"/>
        <v/>
      </c>
      <c r="Q146" s="112"/>
    </row>
    <row r="147" spans="4:17" ht="32.1" customHeight="1">
      <c r="D147" s="155"/>
      <c r="E147" s="154"/>
      <c r="P147" s="111" t="str">
        <f t="shared" si="39"/>
        <v/>
      </c>
      <c r="Q147" s="112"/>
    </row>
    <row r="148" spans="4:17" ht="32.1" customHeight="1">
      <c r="D148" s="155"/>
      <c r="E148" s="154"/>
      <c r="P148" s="111" t="str">
        <f t="shared" si="39"/>
        <v/>
      </c>
      <c r="Q148" s="112"/>
    </row>
    <row r="149" spans="4:17" ht="32.1" customHeight="1">
      <c r="D149" s="155"/>
      <c r="E149" s="154"/>
      <c r="P149" s="111" t="str">
        <f t="shared" si="39"/>
        <v/>
      </c>
      <c r="Q149" s="112"/>
    </row>
    <row r="150" spans="4:17" ht="32.1" customHeight="1">
      <c r="D150" s="155"/>
      <c r="E150" s="154"/>
      <c r="P150" s="111" t="str">
        <f t="shared" si="39"/>
        <v/>
      </c>
      <c r="Q150" s="112"/>
    </row>
    <row r="151" spans="4:17" ht="32.1" customHeight="1">
      <c r="D151" s="155"/>
      <c r="E151" s="154"/>
      <c r="P151" s="111" t="str">
        <f t="shared" si="39"/>
        <v/>
      </c>
      <c r="Q151" s="112"/>
    </row>
    <row r="152" spans="4:17" ht="32.1" customHeight="1">
      <c r="D152" s="155"/>
      <c r="E152" s="154"/>
      <c r="P152" s="111" t="str">
        <f t="shared" si="39"/>
        <v/>
      </c>
      <c r="Q152" s="112"/>
    </row>
    <row r="153" spans="4:17" ht="32.1" customHeight="1">
      <c r="D153" s="155"/>
      <c r="E153" s="154"/>
      <c r="P153" s="111" t="str">
        <f t="shared" si="39"/>
        <v/>
      </c>
      <c r="Q153" s="112"/>
    </row>
    <row r="154" spans="4:17" ht="32.1" customHeight="1">
      <c r="D154" s="155"/>
      <c r="E154" s="154"/>
      <c r="P154" s="111" t="str">
        <f t="shared" si="39"/>
        <v/>
      </c>
      <c r="Q154" s="112"/>
    </row>
    <row r="155" spans="4:17" ht="32.1" customHeight="1">
      <c r="D155" s="155"/>
      <c r="E155" s="154"/>
      <c r="P155" s="111" t="str">
        <f t="shared" si="39"/>
        <v/>
      </c>
      <c r="Q155" s="112"/>
    </row>
    <row r="156" spans="4:17" ht="32.1" customHeight="1">
      <c r="D156" s="155"/>
      <c r="E156" s="154"/>
      <c r="P156" s="111" t="str">
        <f t="shared" si="39"/>
        <v/>
      </c>
      <c r="Q156" s="112"/>
    </row>
    <row r="157" spans="4:17" ht="32.1" customHeight="1">
      <c r="D157" s="155"/>
      <c r="E157" s="154"/>
      <c r="P157" s="111" t="str">
        <f t="shared" si="39"/>
        <v/>
      </c>
      <c r="Q157" s="112"/>
    </row>
    <row r="158" spans="4:17" ht="32.1" customHeight="1">
      <c r="D158" s="155"/>
      <c r="E158" s="154"/>
      <c r="P158" s="111" t="str">
        <f t="shared" si="39"/>
        <v/>
      </c>
      <c r="Q158" s="112"/>
    </row>
    <row r="159" spans="4:17" ht="32.1" customHeight="1">
      <c r="D159" s="155"/>
      <c r="E159" s="154"/>
      <c r="P159" s="111" t="str">
        <f t="shared" si="39"/>
        <v/>
      </c>
      <c r="Q159" s="112"/>
    </row>
    <row r="160" spans="4:17" ht="32.1" customHeight="1">
      <c r="D160" s="155"/>
      <c r="E160" s="154"/>
      <c r="P160" s="111" t="str">
        <f t="shared" si="39"/>
        <v/>
      </c>
      <c r="Q160" s="112"/>
    </row>
    <row r="161" spans="4:17" ht="32.1" customHeight="1">
      <c r="D161" s="155"/>
      <c r="E161" s="154"/>
      <c r="P161" s="111" t="str">
        <f t="shared" si="39"/>
        <v/>
      </c>
      <c r="Q161" s="112"/>
    </row>
    <row r="162" spans="4:17" ht="32.1" customHeight="1">
      <c r="D162" s="155"/>
      <c r="E162" s="154"/>
      <c r="P162" s="111" t="str">
        <f t="shared" si="39"/>
        <v/>
      </c>
      <c r="Q162" s="112"/>
    </row>
    <row r="163" spans="4:17" ht="32.1" customHeight="1">
      <c r="D163" s="155"/>
      <c r="E163" s="154"/>
      <c r="P163" s="111" t="str">
        <f t="shared" si="39"/>
        <v/>
      </c>
      <c r="Q163" s="112"/>
    </row>
    <row r="164" spans="4:17" ht="32.1" customHeight="1">
      <c r="D164" s="155"/>
      <c r="E164" s="154"/>
      <c r="P164" s="111" t="str">
        <f t="shared" si="39"/>
        <v/>
      </c>
      <c r="Q164" s="112"/>
    </row>
    <row r="165" spans="4:17" ht="32.1" customHeight="1">
      <c r="D165" s="155"/>
      <c r="E165" s="154"/>
      <c r="P165" s="111" t="str">
        <f t="shared" si="39"/>
        <v/>
      </c>
      <c r="Q165" s="112"/>
    </row>
    <row r="166" spans="4:17" ht="32.1" customHeight="1">
      <c r="D166" s="155"/>
      <c r="E166" s="154"/>
      <c r="P166" s="111" t="str">
        <f t="shared" ref="P166:P229" si="40">CONCATENATE(C166,H166)</f>
        <v/>
      </c>
      <c r="Q166" s="112"/>
    </row>
    <row r="167" spans="4:17" ht="32.1" customHeight="1">
      <c r="D167" s="155"/>
      <c r="E167" s="154"/>
      <c r="P167" s="111" t="str">
        <f t="shared" si="40"/>
        <v/>
      </c>
      <c r="Q167" s="112"/>
    </row>
    <row r="168" spans="4:17" ht="32.1" customHeight="1">
      <c r="D168" s="155"/>
      <c r="E168" s="154"/>
      <c r="P168" s="111" t="str">
        <f t="shared" si="40"/>
        <v/>
      </c>
      <c r="Q168" s="112"/>
    </row>
    <row r="169" spans="4:17" ht="32.1" customHeight="1">
      <c r="D169" s="155"/>
      <c r="E169" s="154"/>
      <c r="P169" s="111" t="str">
        <f t="shared" si="40"/>
        <v/>
      </c>
      <c r="Q169" s="112"/>
    </row>
    <row r="170" spans="4:17" ht="32.1" customHeight="1">
      <c r="D170" s="155"/>
      <c r="E170" s="154"/>
      <c r="P170" s="111" t="str">
        <f t="shared" si="40"/>
        <v/>
      </c>
      <c r="Q170" s="112"/>
    </row>
    <row r="171" spans="4:17" ht="32.1" customHeight="1">
      <c r="D171" s="155"/>
      <c r="E171" s="154"/>
      <c r="P171" s="111" t="str">
        <f t="shared" si="40"/>
        <v/>
      </c>
      <c r="Q171" s="112"/>
    </row>
    <row r="172" spans="4:17" ht="32.1" customHeight="1">
      <c r="D172" s="155"/>
      <c r="E172" s="154"/>
      <c r="P172" s="111" t="str">
        <f t="shared" si="40"/>
        <v/>
      </c>
      <c r="Q172" s="112"/>
    </row>
    <row r="173" spans="4:17" ht="32.1" customHeight="1">
      <c r="D173" s="155"/>
      <c r="E173" s="154"/>
      <c r="P173" s="111" t="str">
        <f t="shared" si="40"/>
        <v/>
      </c>
      <c r="Q173" s="112"/>
    </row>
    <row r="174" spans="4:17" ht="32.1" customHeight="1">
      <c r="D174" s="155"/>
      <c r="E174" s="154"/>
      <c r="P174" s="111" t="str">
        <f t="shared" si="40"/>
        <v/>
      </c>
      <c r="Q174" s="112"/>
    </row>
    <row r="175" spans="4:17" ht="32.1" customHeight="1">
      <c r="D175" s="155"/>
      <c r="E175" s="154"/>
      <c r="P175" s="111" t="str">
        <f t="shared" si="40"/>
        <v/>
      </c>
      <c r="Q175" s="112"/>
    </row>
    <row r="176" spans="4:17" ht="32.1" customHeight="1">
      <c r="D176" s="155"/>
      <c r="E176" s="154"/>
      <c r="P176" s="111" t="str">
        <f t="shared" si="40"/>
        <v/>
      </c>
      <c r="Q176" s="112"/>
    </row>
    <row r="177" spans="4:17" ht="32.1" customHeight="1">
      <c r="D177" s="155"/>
      <c r="E177" s="154"/>
      <c r="P177" s="111" t="str">
        <f t="shared" si="40"/>
        <v/>
      </c>
      <c r="Q177" s="112"/>
    </row>
    <row r="178" spans="4:17" ht="32.1" customHeight="1">
      <c r="D178" s="155"/>
      <c r="E178" s="154"/>
      <c r="P178" s="111" t="str">
        <f t="shared" si="40"/>
        <v/>
      </c>
      <c r="Q178" s="112"/>
    </row>
    <row r="179" spans="4:17" ht="32.1" customHeight="1">
      <c r="D179" s="155"/>
      <c r="E179" s="154"/>
      <c r="P179" s="111" t="str">
        <f t="shared" si="40"/>
        <v/>
      </c>
      <c r="Q179" s="112"/>
    </row>
    <row r="180" spans="4:17" ht="32.1" customHeight="1">
      <c r="D180" s="155"/>
      <c r="E180" s="154"/>
      <c r="P180" s="111" t="str">
        <f t="shared" si="40"/>
        <v/>
      </c>
      <c r="Q180" s="112"/>
    </row>
    <row r="181" spans="4:17" ht="32.1" customHeight="1">
      <c r="D181" s="155"/>
      <c r="E181" s="154"/>
      <c r="P181" s="111" t="str">
        <f t="shared" si="40"/>
        <v/>
      </c>
      <c r="Q181" s="112"/>
    </row>
    <row r="182" spans="4:17" ht="32.1" customHeight="1">
      <c r="D182" s="155"/>
      <c r="E182" s="154"/>
      <c r="P182" s="111" t="str">
        <f t="shared" si="40"/>
        <v/>
      </c>
      <c r="Q182" s="112"/>
    </row>
    <row r="183" spans="4:17" ht="32.1" customHeight="1">
      <c r="D183" s="155"/>
      <c r="E183" s="154"/>
      <c r="P183" s="111" t="str">
        <f t="shared" si="40"/>
        <v/>
      </c>
      <c r="Q183" s="112"/>
    </row>
    <row r="184" spans="4:17" ht="32.1" customHeight="1">
      <c r="D184" s="155"/>
      <c r="E184" s="154"/>
      <c r="P184" s="111" t="str">
        <f t="shared" si="40"/>
        <v/>
      </c>
      <c r="Q184" s="112"/>
    </row>
    <row r="185" spans="4:17" ht="32.1" customHeight="1">
      <c r="D185" s="155"/>
      <c r="E185" s="154"/>
      <c r="P185" s="111" t="str">
        <f t="shared" si="40"/>
        <v/>
      </c>
      <c r="Q185" s="112"/>
    </row>
    <row r="186" spans="4:17" ht="32.1" customHeight="1">
      <c r="D186" s="155"/>
      <c r="E186" s="154"/>
      <c r="P186" s="111" t="str">
        <f t="shared" si="40"/>
        <v/>
      </c>
      <c r="Q186" s="112"/>
    </row>
    <row r="187" spans="4:17" ht="32.1" customHeight="1">
      <c r="D187" s="155"/>
      <c r="E187" s="154"/>
      <c r="P187" s="111" t="str">
        <f t="shared" si="40"/>
        <v/>
      </c>
      <c r="Q187" s="112"/>
    </row>
    <row r="188" spans="4:17" ht="32.1" customHeight="1">
      <c r="D188" s="155"/>
      <c r="E188" s="154"/>
      <c r="P188" s="111" t="str">
        <f t="shared" si="40"/>
        <v/>
      </c>
      <c r="Q188" s="112"/>
    </row>
    <row r="189" spans="4:17" ht="32.1" customHeight="1">
      <c r="D189" s="155"/>
      <c r="E189" s="154"/>
      <c r="P189" s="111" t="str">
        <f t="shared" si="40"/>
        <v/>
      </c>
      <c r="Q189" s="112"/>
    </row>
    <row r="190" spans="4:17" ht="32.1" customHeight="1">
      <c r="D190" s="155"/>
      <c r="E190" s="154"/>
      <c r="P190" s="111" t="str">
        <f t="shared" si="40"/>
        <v/>
      </c>
      <c r="Q190" s="112"/>
    </row>
    <row r="191" spans="4:17" ht="32.1" customHeight="1">
      <c r="D191" s="155"/>
      <c r="E191" s="154"/>
      <c r="P191" s="111" t="str">
        <f t="shared" si="40"/>
        <v/>
      </c>
      <c r="Q191" s="112"/>
    </row>
    <row r="192" spans="4:17" ht="32.1" customHeight="1">
      <c r="D192" s="155"/>
      <c r="E192" s="154"/>
      <c r="P192" s="111" t="str">
        <f t="shared" si="40"/>
        <v/>
      </c>
      <c r="Q192" s="112"/>
    </row>
    <row r="193" spans="4:17" ht="32.1" customHeight="1">
      <c r="D193" s="155"/>
      <c r="E193" s="154"/>
      <c r="P193" s="111" t="str">
        <f t="shared" si="40"/>
        <v/>
      </c>
      <c r="Q193" s="112"/>
    </row>
    <row r="194" spans="4:17" ht="32.1" customHeight="1">
      <c r="D194" s="155"/>
      <c r="E194" s="154"/>
      <c r="P194" s="111" t="str">
        <f t="shared" si="40"/>
        <v/>
      </c>
      <c r="Q194" s="112"/>
    </row>
    <row r="195" spans="4:17" ht="32.1" customHeight="1">
      <c r="D195" s="155"/>
      <c r="E195" s="154"/>
      <c r="P195" s="111" t="str">
        <f t="shared" si="40"/>
        <v/>
      </c>
      <c r="Q195" s="112"/>
    </row>
    <row r="196" spans="4:17" ht="32.1" customHeight="1">
      <c r="D196" s="155"/>
      <c r="E196" s="154"/>
      <c r="P196" s="111" t="str">
        <f t="shared" si="40"/>
        <v/>
      </c>
      <c r="Q196" s="112"/>
    </row>
    <row r="197" spans="4:17" ht="32.1" customHeight="1">
      <c r="D197" s="155"/>
      <c r="E197" s="154"/>
      <c r="P197" s="111" t="str">
        <f t="shared" si="40"/>
        <v/>
      </c>
      <c r="Q197" s="112"/>
    </row>
    <row r="198" spans="4:17" ht="32.1" customHeight="1">
      <c r="D198" s="155"/>
      <c r="E198" s="154"/>
      <c r="P198" s="111" t="str">
        <f t="shared" si="40"/>
        <v/>
      </c>
      <c r="Q198" s="112"/>
    </row>
    <row r="199" spans="4:17" ht="32.1" customHeight="1">
      <c r="D199" s="155"/>
      <c r="E199" s="154"/>
      <c r="P199" s="111" t="str">
        <f t="shared" si="40"/>
        <v/>
      </c>
      <c r="Q199" s="112"/>
    </row>
    <row r="200" spans="4:17" ht="32.1" customHeight="1">
      <c r="D200" s="155"/>
      <c r="E200" s="154"/>
      <c r="P200" s="111" t="str">
        <f t="shared" si="40"/>
        <v/>
      </c>
      <c r="Q200" s="112"/>
    </row>
    <row r="201" spans="4:17" ht="32.1" customHeight="1">
      <c r="D201" s="155"/>
      <c r="E201" s="154"/>
      <c r="P201" s="111" t="str">
        <f t="shared" si="40"/>
        <v/>
      </c>
      <c r="Q201" s="112"/>
    </row>
    <row r="202" spans="4:17" ht="32.1" customHeight="1">
      <c r="D202" s="155"/>
      <c r="E202" s="154"/>
      <c r="P202" s="111" t="str">
        <f t="shared" si="40"/>
        <v/>
      </c>
      <c r="Q202" s="112"/>
    </row>
    <row r="203" spans="4:17" ht="32.1" customHeight="1">
      <c r="D203" s="155"/>
      <c r="E203" s="154"/>
      <c r="P203" s="111" t="str">
        <f t="shared" si="40"/>
        <v/>
      </c>
      <c r="Q203" s="112"/>
    </row>
    <row r="204" spans="4:17" ht="32.1" customHeight="1">
      <c r="D204" s="155"/>
      <c r="E204" s="154"/>
      <c r="P204" s="111" t="str">
        <f t="shared" si="40"/>
        <v/>
      </c>
      <c r="Q204" s="112"/>
    </row>
    <row r="205" spans="4:17" ht="32.1" customHeight="1">
      <c r="D205" s="155"/>
      <c r="E205" s="154"/>
      <c r="P205" s="111" t="str">
        <f t="shared" si="40"/>
        <v/>
      </c>
      <c r="Q205" s="112"/>
    </row>
    <row r="206" spans="4:17" ht="32.1" customHeight="1">
      <c r="D206" s="155"/>
      <c r="E206" s="154"/>
      <c r="P206" s="111" t="str">
        <f t="shared" si="40"/>
        <v/>
      </c>
      <c r="Q206" s="112"/>
    </row>
    <row r="207" spans="4:17" ht="32.1" customHeight="1">
      <c r="D207" s="155"/>
      <c r="E207" s="154"/>
      <c r="P207" s="111" t="str">
        <f t="shared" si="40"/>
        <v/>
      </c>
      <c r="Q207" s="112"/>
    </row>
    <row r="208" spans="4:17" ht="32.1" customHeight="1">
      <c r="D208" s="155"/>
      <c r="E208" s="154"/>
      <c r="P208" s="111" t="str">
        <f t="shared" si="40"/>
        <v/>
      </c>
      <c r="Q208" s="112"/>
    </row>
    <row r="209" spans="4:17" ht="32.1" customHeight="1">
      <c r="D209" s="155"/>
      <c r="E209" s="154"/>
      <c r="P209" s="111" t="str">
        <f t="shared" si="40"/>
        <v/>
      </c>
      <c r="Q209" s="112"/>
    </row>
    <row r="210" spans="4:17" ht="32.1" customHeight="1">
      <c r="D210" s="155"/>
      <c r="E210" s="154"/>
      <c r="P210" s="111" t="str">
        <f t="shared" si="40"/>
        <v/>
      </c>
      <c r="Q210" s="112"/>
    </row>
    <row r="211" spans="4:17" ht="32.1" customHeight="1">
      <c r="D211" s="155"/>
      <c r="E211" s="154"/>
      <c r="P211" s="111" t="str">
        <f t="shared" si="40"/>
        <v/>
      </c>
      <c r="Q211" s="112"/>
    </row>
    <row r="212" spans="4:17" ht="32.1" customHeight="1">
      <c r="D212" s="155"/>
      <c r="E212" s="154"/>
      <c r="P212" s="111" t="str">
        <f t="shared" si="40"/>
        <v/>
      </c>
      <c r="Q212" s="112"/>
    </row>
    <row r="213" spans="4:17" ht="32.1" customHeight="1">
      <c r="D213" s="155"/>
      <c r="E213" s="154"/>
      <c r="P213" s="111" t="str">
        <f t="shared" si="40"/>
        <v/>
      </c>
      <c r="Q213" s="112"/>
    </row>
    <row r="214" spans="4:17" ht="32.1" customHeight="1">
      <c r="D214" s="155"/>
      <c r="E214" s="154"/>
      <c r="P214" s="111" t="str">
        <f t="shared" si="40"/>
        <v/>
      </c>
      <c r="Q214" s="112"/>
    </row>
    <row r="215" spans="4:17" ht="32.1" customHeight="1">
      <c r="D215" s="155"/>
      <c r="E215" s="154"/>
      <c r="P215" s="111" t="str">
        <f t="shared" si="40"/>
        <v/>
      </c>
      <c r="Q215" s="112"/>
    </row>
    <row r="216" spans="4:17" ht="32.1" customHeight="1">
      <c r="D216" s="155"/>
      <c r="E216" s="154"/>
      <c r="P216" s="111" t="str">
        <f t="shared" si="40"/>
        <v/>
      </c>
      <c r="Q216" s="112"/>
    </row>
    <row r="217" spans="4:17" ht="32.1" customHeight="1">
      <c r="D217" s="155"/>
      <c r="E217" s="154"/>
      <c r="P217" s="111" t="str">
        <f t="shared" si="40"/>
        <v/>
      </c>
      <c r="Q217" s="112"/>
    </row>
    <row r="218" spans="4:17" ht="32.1" customHeight="1">
      <c r="D218" s="155"/>
      <c r="E218" s="154"/>
      <c r="P218" s="111" t="str">
        <f t="shared" si="40"/>
        <v/>
      </c>
      <c r="Q218" s="112"/>
    </row>
    <row r="219" spans="4:17" ht="32.1" customHeight="1">
      <c r="D219" s="155"/>
      <c r="E219" s="154"/>
      <c r="P219" s="111" t="str">
        <f t="shared" si="40"/>
        <v/>
      </c>
      <c r="Q219" s="112"/>
    </row>
    <row r="220" spans="4:17" ht="32.1" customHeight="1">
      <c r="D220" s="155"/>
      <c r="E220" s="154"/>
      <c r="P220" s="111" t="str">
        <f t="shared" si="40"/>
        <v/>
      </c>
      <c r="Q220" s="112"/>
    </row>
    <row r="221" spans="4:17" ht="32.1" customHeight="1">
      <c r="D221" s="155"/>
      <c r="E221" s="154"/>
      <c r="P221" s="111" t="str">
        <f t="shared" si="40"/>
        <v/>
      </c>
      <c r="Q221" s="112"/>
    </row>
    <row r="222" spans="4:17" ht="32.1" customHeight="1">
      <c r="D222" s="155"/>
      <c r="E222" s="154"/>
      <c r="P222" s="111" t="str">
        <f t="shared" si="40"/>
        <v/>
      </c>
      <c r="Q222" s="112"/>
    </row>
    <row r="223" spans="4:17" ht="32.1" customHeight="1">
      <c r="D223" s="155"/>
      <c r="E223" s="154"/>
      <c r="P223" s="111" t="str">
        <f t="shared" si="40"/>
        <v/>
      </c>
      <c r="Q223" s="112"/>
    </row>
    <row r="224" spans="4:17" ht="32.1" customHeight="1">
      <c r="D224" s="155"/>
      <c r="E224" s="154"/>
      <c r="P224" s="111" t="str">
        <f t="shared" si="40"/>
        <v/>
      </c>
      <c r="Q224" s="112"/>
    </row>
    <row r="225" spans="4:17" ht="32.1" customHeight="1">
      <c r="D225" s="155"/>
      <c r="E225" s="154"/>
      <c r="P225" s="111" t="str">
        <f t="shared" si="40"/>
        <v/>
      </c>
      <c r="Q225" s="112"/>
    </row>
    <row r="226" spans="4:17" ht="32.1" customHeight="1">
      <c r="D226" s="155"/>
      <c r="E226" s="154"/>
      <c r="P226" s="111" t="str">
        <f t="shared" si="40"/>
        <v/>
      </c>
      <c r="Q226" s="112"/>
    </row>
    <row r="227" spans="4:17" ht="32.1" customHeight="1">
      <c r="D227" s="155"/>
      <c r="E227" s="154"/>
      <c r="P227" s="111" t="str">
        <f t="shared" si="40"/>
        <v/>
      </c>
      <c r="Q227" s="112"/>
    </row>
    <row r="228" spans="4:17" ht="32.1" customHeight="1">
      <c r="D228" s="155"/>
      <c r="E228" s="154"/>
      <c r="P228" s="111" t="str">
        <f t="shared" si="40"/>
        <v/>
      </c>
      <c r="Q228" s="112"/>
    </row>
    <row r="229" spans="4:17" ht="32.1" customHeight="1">
      <c r="D229" s="155"/>
      <c r="E229" s="154"/>
      <c r="P229" s="111" t="str">
        <f t="shared" si="40"/>
        <v/>
      </c>
      <c r="Q229" s="112"/>
    </row>
    <row r="230" spans="4:17" ht="32.1" customHeight="1">
      <c r="D230" s="155"/>
      <c r="E230" s="154"/>
      <c r="P230" s="111" t="str">
        <f t="shared" ref="P230:P277" si="41">CONCATENATE(C230,H230)</f>
        <v/>
      </c>
      <c r="Q230" s="112"/>
    </row>
    <row r="231" spans="4:17" ht="32.1" customHeight="1">
      <c r="D231" s="155"/>
      <c r="E231" s="154"/>
      <c r="P231" s="111" t="str">
        <f t="shared" si="41"/>
        <v/>
      </c>
      <c r="Q231" s="112"/>
    </row>
    <row r="232" spans="4:17" ht="32.1" customHeight="1">
      <c r="D232" s="155"/>
      <c r="E232" s="154"/>
      <c r="P232" s="111" t="str">
        <f t="shared" si="41"/>
        <v/>
      </c>
      <c r="Q232" s="112"/>
    </row>
    <row r="233" spans="4:17" ht="32.1" customHeight="1">
      <c r="D233" s="155"/>
      <c r="E233" s="154"/>
      <c r="P233" s="111" t="str">
        <f t="shared" si="41"/>
        <v/>
      </c>
      <c r="Q233" s="112"/>
    </row>
    <row r="234" spans="4:17" ht="32.1" customHeight="1">
      <c r="D234" s="155"/>
      <c r="E234" s="154"/>
      <c r="P234" s="111" t="str">
        <f t="shared" si="41"/>
        <v/>
      </c>
      <c r="Q234" s="112"/>
    </row>
    <row r="235" spans="4:17" ht="32.1" customHeight="1">
      <c r="D235" s="155"/>
      <c r="E235" s="154"/>
      <c r="P235" s="111" t="str">
        <f t="shared" si="41"/>
        <v/>
      </c>
      <c r="Q235" s="112"/>
    </row>
    <row r="236" spans="4:17" ht="32.1" customHeight="1">
      <c r="D236" s="155"/>
      <c r="E236" s="154"/>
      <c r="P236" s="111" t="str">
        <f t="shared" si="41"/>
        <v/>
      </c>
      <c r="Q236" s="112"/>
    </row>
    <row r="237" spans="4:17" ht="32.1" customHeight="1">
      <c r="D237" s="155"/>
      <c r="E237" s="154"/>
      <c r="P237" s="111" t="str">
        <f t="shared" si="41"/>
        <v/>
      </c>
      <c r="Q237" s="112"/>
    </row>
    <row r="238" spans="4:17" ht="32.1" customHeight="1">
      <c r="D238" s="155"/>
      <c r="E238" s="154"/>
      <c r="P238" s="111" t="str">
        <f t="shared" si="41"/>
        <v/>
      </c>
      <c r="Q238" s="112"/>
    </row>
    <row r="239" spans="4:17" ht="32.1" customHeight="1">
      <c r="D239" s="155"/>
      <c r="E239" s="154"/>
      <c r="P239" s="111" t="str">
        <f t="shared" si="41"/>
        <v/>
      </c>
      <c r="Q239" s="112"/>
    </row>
    <row r="240" spans="4:17" ht="32.1" customHeight="1">
      <c r="D240" s="155"/>
      <c r="E240" s="154"/>
      <c r="P240" s="111" t="str">
        <f t="shared" si="41"/>
        <v/>
      </c>
      <c r="Q240" s="112"/>
    </row>
    <row r="241" spans="4:17" ht="32.1" customHeight="1">
      <c r="D241" s="155"/>
      <c r="E241" s="154"/>
      <c r="P241" s="111" t="str">
        <f t="shared" si="41"/>
        <v/>
      </c>
      <c r="Q241" s="112"/>
    </row>
    <row r="242" spans="4:17" ht="32.1" customHeight="1">
      <c r="D242" s="155"/>
      <c r="E242" s="154"/>
      <c r="P242" s="111" t="str">
        <f t="shared" si="41"/>
        <v/>
      </c>
      <c r="Q242" s="112"/>
    </row>
    <row r="243" spans="4:17" ht="32.1" customHeight="1">
      <c r="D243" s="155"/>
      <c r="E243" s="154"/>
      <c r="P243" s="111" t="str">
        <f t="shared" si="41"/>
        <v/>
      </c>
      <c r="Q243" s="112"/>
    </row>
    <row r="244" spans="4:17" ht="32.1" customHeight="1">
      <c r="D244" s="155"/>
      <c r="E244" s="154"/>
      <c r="P244" s="111" t="str">
        <f t="shared" si="41"/>
        <v/>
      </c>
      <c r="Q244" s="112"/>
    </row>
    <row r="245" spans="4:17" ht="32.1" customHeight="1">
      <c r="D245" s="155"/>
      <c r="E245" s="154"/>
      <c r="P245" s="111" t="str">
        <f t="shared" si="41"/>
        <v/>
      </c>
      <c r="Q245" s="112"/>
    </row>
    <row r="246" spans="4:17" ht="32.1" customHeight="1">
      <c r="D246" s="155"/>
      <c r="E246" s="154"/>
      <c r="P246" s="111" t="str">
        <f t="shared" si="41"/>
        <v/>
      </c>
      <c r="Q246" s="112"/>
    </row>
    <row r="247" spans="4:17" ht="32.1" customHeight="1">
      <c r="D247" s="155"/>
      <c r="E247" s="154"/>
      <c r="P247" s="111" t="str">
        <f t="shared" si="41"/>
        <v/>
      </c>
      <c r="Q247" s="112"/>
    </row>
    <row r="248" spans="4:17" ht="32.1" customHeight="1">
      <c r="D248" s="155"/>
      <c r="E248" s="154"/>
      <c r="P248" s="111" t="str">
        <f t="shared" si="41"/>
        <v/>
      </c>
      <c r="Q248" s="112"/>
    </row>
    <row r="249" spans="4:17" ht="32.1" customHeight="1">
      <c r="D249" s="155"/>
      <c r="E249" s="154"/>
      <c r="P249" s="111" t="str">
        <f t="shared" si="41"/>
        <v/>
      </c>
      <c r="Q249" s="112"/>
    </row>
    <row r="250" spans="4:17" ht="32.1" customHeight="1">
      <c r="D250" s="155"/>
      <c r="E250" s="154"/>
      <c r="P250" s="111" t="str">
        <f t="shared" si="41"/>
        <v/>
      </c>
      <c r="Q250" s="112"/>
    </row>
    <row r="251" spans="4:17" ht="32.1" customHeight="1">
      <c r="D251" s="155"/>
      <c r="E251" s="154"/>
      <c r="P251" s="111" t="str">
        <f t="shared" si="41"/>
        <v/>
      </c>
      <c r="Q251" s="112"/>
    </row>
    <row r="252" spans="4:17" ht="32.1" customHeight="1">
      <c r="D252" s="155"/>
      <c r="E252" s="154"/>
      <c r="P252" s="111" t="str">
        <f t="shared" si="41"/>
        <v/>
      </c>
      <c r="Q252" s="112"/>
    </row>
    <row r="253" spans="4:17" ht="32.1" customHeight="1">
      <c r="D253" s="155"/>
      <c r="E253" s="154"/>
      <c r="P253" s="111" t="str">
        <f t="shared" si="41"/>
        <v/>
      </c>
      <c r="Q253" s="112"/>
    </row>
    <row r="254" spans="4:17" ht="32.1" customHeight="1">
      <c r="D254" s="155"/>
      <c r="E254" s="154"/>
      <c r="P254" s="111" t="str">
        <f t="shared" si="41"/>
        <v/>
      </c>
      <c r="Q254" s="112"/>
    </row>
    <row r="255" spans="4:17" ht="32.1" customHeight="1">
      <c r="D255" s="155"/>
      <c r="E255" s="154"/>
      <c r="P255" s="111" t="str">
        <f t="shared" si="41"/>
        <v/>
      </c>
      <c r="Q255" s="112"/>
    </row>
    <row r="256" spans="4:17" ht="32.1" customHeight="1">
      <c r="D256" s="155"/>
      <c r="E256" s="154"/>
      <c r="P256" s="111" t="str">
        <f t="shared" si="41"/>
        <v/>
      </c>
      <c r="Q256" s="112"/>
    </row>
    <row r="257" spans="4:17" ht="32.1" customHeight="1">
      <c r="D257" s="155"/>
      <c r="E257" s="154"/>
      <c r="P257" s="111" t="str">
        <f t="shared" si="41"/>
        <v/>
      </c>
      <c r="Q257" s="112"/>
    </row>
    <row r="258" spans="4:17" ht="32.1" customHeight="1">
      <c r="D258" s="155"/>
      <c r="E258" s="154"/>
      <c r="P258" s="111" t="str">
        <f t="shared" si="41"/>
        <v/>
      </c>
      <c r="Q258" s="112"/>
    </row>
    <row r="259" spans="4:17" ht="32.1" customHeight="1">
      <c r="D259" s="155"/>
      <c r="E259" s="154"/>
      <c r="P259" s="111" t="str">
        <f t="shared" si="41"/>
        <v/>
      </c>
      <c r="Q259" s="112"/>
    </row>
    <row r="260" spans="4:17" ht="32.1" customHeight="1">
      <c r="D260" s="155"/>
      <c r="E260" s="154"/>
      <c r="P260" s="111" t="str">
        <f t="shared" si="41"/>
        <v/>
      </c>
      <c r="Q260" s="112"/>
    </row>
    <row r="261" spans="4:17" ht="32.1" customHeight="1">
      <c r="D261" s="155"/>
      <c r="E261" s="154"/>
      <c r="P261" s="111" t="str">
        <f t="shared" si="41"/>
        <v/>
      </c>
      <c r="Q261" s="112"/>
    </row>
    <row r="262" spans="4:17" ht="32.1" customHeight="1">
      <c r="D262" s="155"/>
      <c r="E262" s="154"/>
      <c r="P262" s="111" t="str">
        <f t="shared" si="41"/>
        <v/>
      </c>
      <c r="Q262" s="112"/>
    </row>
    <row r="263" spans="4:17" ht="32.1" customHeight="1">
      <c r="D263" s="155"/>
      <c r="E263" s="154"/>
      <c r="P263" s="111" t="str">
        <f t="shared" si="41"/>
        <v/>
      </c>
      <c r="Q263" s="112"/>
    </row>
    <row r="264" spans="4:17" ht="32.1" customHeight="1">
      <c r="D264" s="155"/>
      <c r="E264" s="154"/>
      <c r="P264" s="111" t="str">
        <f t="shared" si="41"/>
        <v/>
      </c>
      <c r="Q264" s="112"/>
    </row>
    <row r="265" spans="4:17" ht="32.1" customHeight="1">
      <c r="D265" s="155"/>
      <c r="E265" s="154"/>
      <c r="P265" s="111" t="str">
        <f t="shared" si="41"/>
        <v/>
      </c>
      <c r="Q265" s="112"/>
    </row>
    <row r="266" spans="4:17" ht="32.1" customHeight="1">
      <c r="D266" s="155"/>
      <c r="E266" s="154"/>
      <c r="P266" s="111" t="str">
        <f t="shared" si="41"/>
        <v/>
      </c>
      <c r="Q266" s="112"/>
    </row>
    <row r="267" spans="4:17" ht="32.1" customHeight="1">
      <c r="D267" s="155"/>
      <c r="E267" s="154"/>
      <c r="P267" s="111" t="str">
        <f t="shared" si="41"/>
        <v/>
      </c>
      <c r="Q267" s="112"/>
    </row>
    <row r="268" spans="4:17" ht="32.1" customHeight="1">
      <c r="D268" s="155"/>
      <c r="E268" s="154"/>
      <c r="P268" s="111" t="str">
        <f t="shared" si="41"/>
        <v/>
      </c>
      <c r="Q268" s="112"/>
    </row>
    <row r="269" spans="4:17" ht="32.1" customHeight="1">
      <c r="D269" s="155"/>
      <c r="E269" s="154"/>
      <c r="P269" s="111" t="str">
        <f t="shared" si="41"/>
        <v/>
      </c>
      <c r="Q269" s="112"/>
    </row>
    <row r="270" spans="4:17" ht="32.1" customHeight="1">
      <c r="D270" s="155"/>
      <c r="E270" s="154"/>
      <c r="P270" s="111" t="str">
        <f t="shared" si="41"/>
        <v/>
      </c>
      <c r="Q270" s="112"/>
    </row>
    <row r="271" spans="4:17" ht="32.1" customHeight="1">
      <c r="D271" s="155"/>
      <c r="E271" s="154"/>
      <c r="P271" s="111" t="str">
        <f t="shared" si="41"/>
        <v/>
      </c>
      <c r="Q271" s="112"/>
    </row>
    <row r="272" spans="4:17" ht="32.1" customHeight="1">
      <c r="D272" s="155"/>
      <c r="E272" s="154"/>
      <c r="P272" s="111" t="str">
        <f t="shared" si="41"/>
        <v/>
      </c>
      <c r="Q272" s="112"/>
    </row>
    <row r="273" spans="4:17" ht="32.1" customHeight="1">
      <c r="D273" s="155"/>
      <c r="E273" s="154"/>
      <c r="P273" s="111" t="str">
        <f t="shared" si="41"/>
        <v/>
      </c>
      <c r="Q273" s="112"/>
    </row>
    <row r="274" spans="4:17" ht="32.1" customHeight="1">
      <c r="D274" s="155"/>
      <c r="E274" s="154"/>
      <c r="P274" s="111" t="str">
        <f t="shared" si="41"/>
        <v/>
      </c>
      <c r="Q274" s="112"/>
    </row>
    <row r="275" spans="4:17" ht="32.1" customHeight="1">
      <c r="D275" s="155"/>
      <c r="E275" s="154"/>
      <c r="P275" s="111" t="str">
        <f t="shared" si="41"/>
        <v/>
      </c>
      <c r="Q275" s="112"/>
    </row>
    <row r="276" spans="4:17" ht="32.1" customHeight="1">
      <c r="D276" s="155"/>
      <c r="E276" s="154"/>
      <c r="P276" s="111" t="str">
        <f t="shared" si="41"/>
        <v/>
      </c>
      <c r="Q276" s="112"/>
    </row>
    <row r="277" spans="4:17" ht="32.1" customHeight="1">
      <c r="D277" s="155"/>
      <c r="E277" s="154"/>
      <c r="P277" s="111" t="str">
        <f t="shared" si="41"/>
        <v/>
      </c>
      <c r="Q277" s="112"/>
    </row>
    <row r="278" spans="4:17" ht="32.1" hidden="1" customHeight="1">
      <c r="D278" s="155"/>
      <c r="E278" s="154"/>
      <c r="Q278" s="123"/>
    </row>
    <row r="279" spans="4:17" ht="32.1" hidden="1" customHeight="1">
      <c r="D279" s="155"/>
      <c r="E279" s="154"/>
      <c r="Q279" s="123"/>
    </row>
    <row r="280" spans="4:17" ht="32.1" hidden="1" customHeight="1">
      <c r="D280" s="155"/>
      <c r="E280" s="154"/>
    </row>
    <row r="281" spans="4:17" ht="32.1" hidden="1" customHeight="1">
      <c r="D281" s="155"/>
      <c r="E281" s="154"/>
    </row>
    <row r="282" spans="4:17" ht="32.1" hidden="1" customHeight="1">
      <c r="D282" s="155"/>
      <c r="E282" s="154"/>
    </row>
    <row r="283" spans="4:17" ht="32.1" hidden="1" customHeight="1">
      <c r="D283" s="155"/>
      <c r="E283" s="154"/>
    </row>
    <row r="284" spans="4:17" ht="32.1" hidden="1" customHeight="1">
      <c r="D284" s="155"/>
      <c r="E284" s="154"/>
    </row>
    <row r="285" spans="4:17" ht="32.1" hidden="1" customHeight="1">
      <c r="D285" s="155"/>
      <c r="E285" s="154"/>
    </row>
    <row r="286" spans="4:17" ht="32.1" hidden="1" customHeight="1">
      <c r="D286" s="155"/>
      <c r="E286" s="154"/>
    </row>
    <row r="287" spans="4:17" ht="32.1" hidden="1" customHeight="1">
      <c r="D287" s="155"/>
      <c r="E287" s="154"/>
    </row>
    <row r="288" spans="4:17" ht="32.1" hidden="1" customHeight="1">
      <c r="D288" s="155"/>
      <c r="E288" s="154"/>
    </row>
    <row r="289" spans="4:5" ht="32.1" hidden="1" customHeight="1">
      <c r="D289" s="155"/>
      <c r="E289" s="154"/>
    </row>
    <row r="290" spans="4:5" ht="32.1" hidden="1" customHeight="1">
      <c r="D290" s="155"/>
      <c r="E290" s="154"/>
    </row>
    <row r="291" spans="4:5" ht="32.1" hidden="1" customHeight="1">
      <c r="D291" s="155"/>
      <c r="E291" s="154"/>
    </row>
    <row r="292" spans="4:5" ht="32.1" hidden="1" customHeight="1">
      <c r="D292" s="155"/>
      <c r="E292" s="154"/>
    </row>
    <row r="293" spans="4:5" ht="32.1" hidden="1" customHeight="1">
      <c r="D293" s="155"/>
      <c r="E293" s="154"/>
    </row>
    <row r="294" spans="4:5" ht="32.1" hidden="1" customHeight="1">
      <c r="D294" s="155"/>
      <c r="E294" s="154"/>
    </row>
    <row r="295" spans="4:5" ht="32.1" hidden="1" customHeight="1">
      <c r="D295" s="155"/>
      <c r="E295" s="154"/>
    </row>
    <row r="296" spans="4:5" ht="32.1" hidden="1" customHeight="1">
      <c r="D296" s="155"/>
      <c r="E296" s="154"/>
    </row>
    <row r="297" spans="4:5" ht="32.1" hidden="1" customHeight="1">
      <c r="D297" s="155"/>
      <c r="E297" s="154"/>
    </row>
    <row r="298" spans="4:5" ht="32.1" hidden="1" customHeight="1">
      <c r="D298" s="155"/>
      <c r="E298" s="154"/>
    </row>
    <row r="299" spans="4:5" ht="32.1" hidden="1" customHeight="1">
      <c r="D299" s="155"/>
      <c r="E299" s="154"/>
    </row>
    <row r="300" spans="4:5" ht="32.1" hidden="1" customHeight="1">
      <c r="D300" s="155"/>
      <c r="E300" s="154"/>
    </row>
    <row r="301" spans="4:5" ht="32.1" hidden="1" customHeight="1">
      <c r="D301" s="155"/>
      <c r="E301" s="154"/>
    </row>
    <row r="302" spans="4:5" ht="32.1" hidden="1" customHeight="1">
      <c r="D302" s="155"/>
      <c r="E302" s="154"/>
    </row>
    <row r="303" spans="4:5" ht="32.1" hidden="1" customHeight="1">
      <c r="D303" s="155"/>
      <c r="E303" s="154"/>
    </row>
    <row r="304" spans="4:5" ht="32.1" hidden="1" customHeight="1">
      <c r="D304" s="155"/>
      <c r="E304" s="154"/>
    </row>
    <row r="305" spans="4:5" ht="32.1" hidden="1" customHeight="1">
      <c r="D305" s="155"/>
      <c r="E305" s="154"/>
    </row>
    <row r="306" spans="4:5" ht="32.1" hidden="1" customHeight="1">
      <c r="D306" s="155"/>
      <c r="E306" s="154"/>
    </row>
    <row r="307" spans="4:5" ht="32.1" hidden="1" customHeight="1">
      <c r="D307" s="155"/>
      <c r="E307" s="154"/>
    </row>
    <row r="308" spans="4:5" ht="32.1" hidden="1" customHeight="1">
      <c r="D308" s="155"/>
      <c r="E308" s="154"/>
    </row>
    <row r="309" spans="4:5" ht="32.1" hidden="1" customHeight="1">
      <c r="D309" s="155"/>
      <c r="E309" s="154"/>
    </row>
    <row r="310" spans="4:5" ht="32.1" hidden="1" customHeight="1">
      <c r="D310" s="155"/>
      <c r="E310" s="154"/>
    </row>
    <row r="311" spans="4:5" ht="32.1" hidden="1" customHeight="1">
      <c r="D311" s="155"/>
      <c r="E311" s="154"/>
    </row>
    <row r="312" spans="4:5" ht="32.1" hidden="1" customHeight="1">
      <c r="D312" s="155"/>
      <c r="E312" s="154"/>
    </row>
    <row r="313" spans="4:5" ht="32.1" hidden="1" customHeight="1">
      <c r="D313" s="155"/>
      <c r="E313" s="154"/>
    </row>
    <row r="314" spans="4:5" ht="32.1" hidden="1" customHeight="1">
      <c r="D314" s="155"/>
      <c r="E314" s="154"/>
    </row>
    <row r="315" spans="4:5" ht="32.1" hidden="1" customHeight="1">
      <c r="D315" s="155"/>
      <c r="E315" s="154"/>
    </row>
    <row r="316" spans="4:5" ht="32.1" hidden="1" customHeight="1">
      <c r="D316" s="155"/>
      <c r="E316" s="154"/>
    </row>
    <row r="317" spans="4:5" ht="32.1" hidden="1" customHeight="1">
      <c r="D317" s="155"/>
      <c r="E317" s="154"/>
    </row>
    <row r="318" spans="4:5" ht="32.1" hidden="1" customHeight="1">
      <c r="D318" s="155"/>
      <c r="E318" s="154"/>
    </row>
    <row r="319" spans="4:5" ht="32.1" hidden="1" customHeight="1">
      <c r="D319" s="155"/>
      <c r="E319" s="154"/>
    </row>
    <row r="320" spans="4:5" ht="32.1" hidden="1" customHeight="1">
      <c r="D320" s="155"/>
      <c r="E320" s="154"/>
    </row>
    <row r="321" spans="4:5" ht="32.1" hidden="1" customHeight="1">
      <c r="D321" s="155"/>
      <c r="E321" s="154"/>
    </row>
    <row r="322" spans="4:5" ht="32.1" hidden="1" customHeight="1">
      <c r="D322" s="155"/>
      <c r="E322" s="154"/>
    </row>
    <row r="323" spans="4:5" ht="32.1" hidden="1" customHeight="1">
      <c r="D323" s="155"/>
      <c r="E323" s="154"/>
    </row>
    <row r="324" spans="4:5" ht="32.1" hidden="1" customHeight="1">
      <c r="D324" s="155"/>
      <c r="E324" s="154"/>
    </row>
    <row r="325" spans="4:5" ht="32.1" hidden="1" customHeight="1">
      <c r="D325" s="155"/>
      <c r="E325" s="154"/>
    </row>
    <row r="326" spans="4:5" ht="32.1" hidden="1" customHeight="1">
      <c r="D326" s="155"/>
      <c r="E326" s="154"/>
    </row>
    <row r="327" spans="4:5" ht="32.1" hidden="1" customHeight="1">
      <c r="D327" s="155"/>
      <c r="E327" s="154"/>
    </row>
    <row r="328" spans="4:5" ht="32.1" hidden="1" customHeight="1">
      <c r="D328" s="155"/>
      <c r="E328" s="154"/>
    </row>
    <row r="329" spans="4:5" ht="32.1" hidden="1" customHeight="1">
      <c r="D329" s="155"/>
      <c r="E329" s="154"/>
    </row>
    <row r="330" spans="4:5" ht="32.1" hidden="1" customHeight="1">
      <c r="D330" s="155"/>
      <c r="E330" s="154"/>
    </row>
    <row r="331" spans="4:5" ht="32.1" hidden="1" customHeight="1">
      <c r="D331" s="155"/>
      <c r="E331" s="154"/>
    </row>
    <row r="332" spans="4:5" ht="32.1" hidden="1" customHeight="1">
      <c r="D332" s="155"/>
      <c r="E332" s="154"/>
    </row>
    <row r="333" spans="4:5" ht="32.1" hidden="1" customHeight="1">
      <c r="D333" s="155"/>
      <c r="E333" s="154"/>
    </row>
    <row r="334" spans="4:5" ht="32.1" hidden="1" customHeight="1">
      <c r="D334" s="155"/>
      <c r="E334" s="154"/>
    </row>
    <row r="335" spans="4:5" ht="32.1" hidden="1" customHeight="1">
      <c r="D335" s="155"/>
      <c r="E335" s="154"/>
    </row>
    <row r="336" spans="4:5" ht="32.1" hidden="1" customHeight="1">
      <c r="D336" s="155"/>
      <c r="E336" s="154"/>
    </row>
    <row r="337" spans="4:5" ht="32.1" hidden="1" customHeight="1">
      <c r="D337" s="155"/>
      <c r="E337" s="154"/>
    </row>
    <row r="338" spans="4:5" ht="32.1" hidden="1" customHeight="1">
      <c r="D338" s="155"/>
      <c r="E338" s="154"/>
    </row>
    <row r="339" spans="4:5" ht="32.1" hidden="1" customHeight="1">
      <c r="D339" s="155"/>
      <c r="E339" s="154"/>
    </row>
    <row r="340" spans="4:5" ht="32.1" hidden="1" customHeight="1">
      <c r="D340" s="155"/>
      <c r="E340" s="154"/>
    </row>
    <row r="341" spans="4:5" ht="32.1" hidden="1" customHeight="1">
      <c r="D341" s="155"/>
      <c r="E341" s="154"/>
    </row>
    <row r="342" spans="4:5" ht="32.1" hidden="1" customHeight="1">
      <c r="D342" s="155"/>
      <c r="E342" s="154"/>
    </row>
    <row r="343" spans="4:5" ht="32.1" hidden="1" customHeight="1">
      <c r="D343" s="155"/>
      <c r="E343" s="154"/>
    </row>
    <row r="344" spans="4:5" ht="32.1" hidden="1" customHeight="1">
      <c r="D344" s="155"/>
      <c r="E344" s="154"/>
    </row>
    <row r="345" spans="4:5" ht="32.1" hidden="1" customHeight="1">
      <c r="D345" s="155"/>
      <c r="E345" s="154"/>
    </row>
    <row r="346" spans="4:5" ht="32.1" hidden="1" customHeight="1">
      <c r="D346" s="155"/>
      <c r="E346" s="154"/>
    </row>
    <row r="347" spans="4:5" ht="32.1" hidden="1" customHeight="1">
      <c r="D347" s="155"/>
      <c r="E347" s="154"/>
    </row>
    <row r="348" spans="4:5" ht="32.1" hidden="1" customHeight="1">
      <c r="D348" s="155"/>
      <c r="E348" s="154"/>
    </row>
    <row r="349" spans="4:5" ht="32.1" hidden="1" customHeight="1">
      <c r="D349" s="155"/>
      <c r="E349" s="154"/>
    </row>
    <row r="350" spans="4:5" ht="32.1" hidden="1" customHeight="1">
      <c r="D350" s="155"/>
      <c r="E350" s="154"/>
    </row>
    <row r="351" spans="4:5" ht="32.1" hidden="1" customHeight="1">
      <c r="D351" s="155"/>
      <c r="E351" s="154"/>
    </row>
    <row r="352" spans="4:5" ht="32.1" hidden="1" customHeight="1">
      <c r="D352" s="155"/>
      <c r="E352" s="154"/>
    </row>
    <row r="353" spans="4:5" ht="32.1" hidden="1" customHeight="1">
      <c r="D353" s="155"/>
      <c r="E353" s="154"/>
    </row>
    <row r="354" spans="4:5" ht="32.1" hidden="1" customHeight="1">
      <c r="D354" s="155"/>
      <c r="E354" s="154"/>
    </row>
    <row r="355" spans="4:5" ht="32.1" hidden="1" customHeight="1">
      <c r="D355" s="155"/>
      <c r="E355" s="154"/>
    </row>
    <row r="356" spans="4:5" ht="32.1" hidden="1" customHeight="1">
      <c r="D356" s="155"/>
      <c r="E356" s="154"/>
    </row>
    <row r="357" spans="4:5" ht="32.1" hidden="1" customHeight="1">
      <c r="D357" s="155"/>
      <c r="E357" s="154"/>
    </row>
    <row r="358" spans="4:5" ht="32.1" hidden="1" customHeight="1">
      <c r="D358" s="155"/>
      <c r="E358" s="154"/>
    </row>
    <row r="359" spans="4:5" ht="32.1" hidden="1" customHeight="1">
      <c r="D359" s="155"/>
      <c r="E359" s="154"/>
    </row>
    <row r="360" spans="4:5" ht="32.1" hidden="1" customHeight="1">
      <c r="D360" s="155"/>
      <c r="E360" s="154"/>
    </row>
    <row r="361" spans="4:5" ht="32.1" hidden="1" customHeight="1">
      <c r="D361" s="155"/>
      <c r="E361" s="154"/>
    </row>
    <row r="362" spans="4:5" ht="32.1" hidden="1" customHeight="1">
      <c r="D362" s="155"/>
      <c r="E362" s="154"/>
    </row>
    <row r="363" spans="4:5" ht="32.1" hidden="1" customHeight="1">
      <c r="D363" s="155"/>
      <c r="E363" s="154"/>
    </row>
    <row r="364" spans="4:5" ht="32.1" hidden="1" customHeight="1">
      <c r="D364" s="155"/>
      <c r="E364" s="154"/>
    </row>
    <row r="365" spans="4:5" ht="32.1" hidden="1" customHeight="1">
      <c r="D365" s="155"/>
      <c r="E365" s="154"/>
    </row>
    <row r="366" spans="4:5" ht="32.1" hidden="1" customHeight="1">
      <c r="D366" s="155"/>
      <c r="E366" s="154"/>
    </row>
    <row r="367" spans="4:5" ht="32.1" hidden="1" customHeight="1">
      <c r="D367" s="155"/>
      <c r="E367" s="154"/>
    </row>
    <row r="368" spans="4:5" ht="32.1" hidden="1" customHeight="1">
      <c r="D368" s="155"/>
      <c r="E368" s="154"/>
    </row>
    <row r="369" spans="4:5" ht="32.1" hidden="1" customHeight="1">
      <c r="D369" s="155"/>
      <c r="E369" s="154"/>
    </row>
    <row r="370" spans="4:5" ht="32.1" hidden="1" customHeight="1">
      <c r="D370" s="155"/>
      <c r="E370" s="154"/>
    </row>
    <row r="371" spans="4:5" ht="32.1" hidden="1" customHeight="1">
      <c r="D371" s="155"/>
      <c r="E371" s="154"/>
    </row>
    <row r="372" spans="4:5" ht="32.1" hidden="1" customHeight="1">
      <c r="D372" s="155"/>
      <c r="E372" s="154"/>
    </row>
    <row r="373" spans="4:5" ht="32.1" hidden="1" customHeight="1">
      <c r="D373" s="155"/>
      <c r="E373" s="154"/>
    </row>
    <row r="374" spans="4:5" ht="32.1" hidden="1" customHeight="1">
      <c r="D374" s="155"/>
      <c r="E374" s="154"/>
    </row>
    <row r="375" spans="4:5" ht="32.1" hidden="1" customHeight="1">
      <c r="D375" s="155"/>
      <c r="E375" s="154"/>
    </row>
    <row r="376" spans="4:5" ht="32.1" hidden="1" customHeight="1">
      <c r="D376" s="155"/>
      <c r="E376" s="154"/>
    </row>
    <row r="377" spans="4:5" ht="32.1" hidden="1" customHeight="1">
      <c r="D377" s="155"/>
      <c r="E377" s="154"/>
    </row>
    <row r="378" spans="4:5" ht="32.1" hidden="1" customHeight="1">
      <c r="D378" s="155"/>
      <c r="E378" s="154"/>
    </row>
    <row r="379" spans="4:5" ht="32.1" hidden="1" customHeight="1">
      <c r="D379" s="155"/>
      <c r="E379" s="154"/>
    </row>
    <row r="380" spans="4:5" ht="32.1" hidden="1" customHeight="1">
      <c r="D380" s="155"/>
      <c r="E380" s="154"/>
    </row>
    <row r="381" spans="4:5" ht="32.1" hidden="1" customHeight="1">
      <c r="D381" s="155"/>
      <c r="E381" s="154"/>
    </row>
    <row r="382" spans="4:5" ht="32.1" hidden="1" customHeight="1">
      <c r="D382" s="155"/>
      <c r="E382" s="154"/>
    </row>
    <row r="383" spans="4:5" ht="32.1" hidden="1" customHeight="1">
      <c r="D383" s="155"/>
      <c r="E383" s="154"/>
    </row>
    <row r="384" spans="4:5" ht="32.1" hidden="1" customHeight="1">
      <c r="D384" s="155"/>
      <c r="E384" s="154"/>
    </row>
    <row r="385" spans="4:5" ht="32.1" hidden="1" customHeight="1">
      <c r="D385" s="155"/>
      <c r="E385" s="154"/>
    </row>
    <row r="386" spans="4:5" ht="32.1" hidden="1" customHeight="1">
      <c r="D386" s="155"/>
      <c r="E386" s="154"/>
    </row>
    <row r="387" spans="4:5" ht="32.1" hidden="1" customHeight="1">
      <c r="D387" s="155"/>
      <c r="E387" s="154"/>
    </row>
    <row r="388" spans="4:5" ht="32.1" hidden="1" customHeight="1">
      <c r="D388" s="155"/>
      <c r="E388" s="154"/>
    </row>
    <row r="389" spans="4:5" ht="32.1" hidden="1" customHeight="1">
      <c r="D389" s="155"/>
      <c r="E389" s="154"/>
    </row>
    <row r="390" spans="4:5" ht="32.1" hidden="1" customHeight="1">
      <c r="D390" s="155"/>
      <c r="E390" s="154"/>
    </row>
    <row r="391" spans="4:5" ht="32.1" hidden="1" customHeight="1">
      <c r="D391" s="155"/>
      <c r="E391" s="154"/>
    </row>
    <row r="392" spans="4:5" ht="32.1" hidden="1" customHeight="1">
      <c r="D392" s="155"/>
      <c r="E392" s="154"/>
    </row>
    <row r="393" spans="4:5" ht="32.1" hidden="1" customHeight="1">
      <c r="D393" s="155"/>
      <c r="E393" s="154"/>
    </row>
    <row r="394" spans="4:5" ht="32.1" hidden="1" customHeight="1">
      <c r="D394" s="155"/>
      <c r="E394" s="154"/>
    </row>
    <row r="395" spans="4:5" ht="32.1" hidden="1" customHeight="1">
      <c r="D395" s="155"/>
      <c r="E395" s="154"/>
    </row>
    <row r="396" spans="4:5" ht="32.1" hidden="1" customHeight="1">
      <c r="D396" s="155"/>
      <c r="E396" s="154"/>
    </row>
    <row r="397" spans="4:5" ht="32.1" hidden="1" customHeight="1">
      <c r="D397" s="155"/>
      <c r="E397" s="154"/>
    </row>
    <row r="398" spans="4:5" ht="32.1" hidden="1" customHeight="1">
      <c r="D398" s="155"/>
      <c r="E398" s="154"/>
    </row>
    <row r="399" spans="4:5" ht="32.1" hidden="1" customHeight="1">
      <c r="D399" s="155"/>
      <c r="E399" s="154"/>
    </row>
    <row r="400" spans="4:5" ht="32.1" hidden="1" customHeight="1">
      <c r="D400" s="155"/>
      <c r="E400" s="154"/>
    </row>
    <row r="401" spans="4:5" ht="32.1" hidden="1" customHeight="1">
      <c r="D401" s="155"/>
      <c r="E401" s="154"/>
    </row>
    <row r="402" spans="4:5" ht="32.1" hidden="1" customHeight="1">
      <c r="D402" s="155"/>
      <c r="E402" s="154"/>
    </row>
    <row r="403" spans="4:5" ht="32.1" hidden="1" customHeight="1">
      <c r="D403" s="155"/>
      <c r="E403" s="154"/>
    </row>
    <row r="404" spans="4:5" ht="32.1" hidden="1" customHeight="1">
      <c r="D404" s="155"/>
      <c r="E404" s="154"/>
    </row>
    <row r="405" spans="4:5" ht="32.1" hidden="1" customHeight="1">
      <c r="D405" s="155"/>
      <c r="E405" s="154"/>
    </row>
    <row r="406" spans="4:5" ht="32.1" hidden="1" customHeight="1">
      <c r="D406" s="155"/>
      <c r="E406" s="154"/>
    </row>
    <row r="407" spans="4:5" ht="32.1" hidden="1" customHeight="1">
      <c r="D407" s="155"/>
      <c r="E407" s="154"/>
    </row>
    <row r="408" spans="4:5" ht="32.1" hidden="1" customHeight="1">
      <c r="D408" s="155"/>
      <c r="E408" s="154"/>
    </row>
    <row r="409" spans="4:5" ht="32.1" hidden="1" customHeight="1">
      <c r="D409" s="155"/>
      <c r="E409" s="154"/>
    </row>
    <row r="410" spans="4:5" ht="32.1" hidden="1" customHeight="1">
      <c r="D410" s="155"/>
      <c r="E410" s="154"/>
    </row>
    <row r="411" spans="4:5" ht="32.1" hidden="1" customHeight="1">
      <c r="D411" s="155"/>
      <c r="E411" s="154"/>
    </row>
    <row r="412" spans="4:5" ht="32.1" hidden="1" customHeight="1">
      <c r="D412" s="155"/>
      <c r="E412" s="154"/>
    </row>
    <row r="413" spans="4:5" ht="32.1" hidden="1" customHeight="1">
      <c r="D413" s="155"/>
      <c r="E413" s="154"/>
    </row>
    <row r="414" spans="4:5" ht="32.1" hidden="1" customHeight="1">
      <c r="D414" s="155"/>
      <c r="E414" s="154"/>
    </row>
    <row r="415" spans="4:5" ht="32.1" hidden="1" customHeight="1">
      <c r="D415" s="155"/>
      <c r="E415" s="154"/>
    </row>
    <row r="416" spans="4:5" ht="32.1" hidden="1" customHeight="1">
      <c r="D416" s="155"/>
      <c r="E416" s="154"/>
    </row>
    <row r="417" spans="4:5" ht="32.1" hidden="1" customHeight="1">
      <c r="D417" s="155"/>
      <c r="E417" s="154"/>
    </row>
    <row r="418" spans="4:5" ht="32.1" hidden="1" customHeight="1">
      <c r="D418" s="155"/>
      <c r="E418" s="154"/>
    </row>
    <row r="419" spans="4:5" ht="32.1" hidden="1" customHeight="1">
      <c r="D419" s="155"/>
      <c r="E419" s="154"/>
    </row>
    <row r="420" spans="4:5" ht="32.1" hidden="1" customHeight="1">
      <c r="D420" s="155"/>
      <c r="E420" s="154"/>
    </row>
    <row r="421" spans="4:5" ht="32.1" hidden="1" customHeight="1">
      <c r="D421" s="155"/>
      <c r="E421" s="154"/>
    </row>
    <row r="422" spans="4:5" ht="32.1" hidden="1" customHeight="1">
      <c r="D422" s="155"/>
      <c r="E422" s="154"/>
    </row>
    <row r="423" spans="4:5" ht="32.1" hidden="1" customHeight="1">
      <c r="D423" s="155"/>
      <c r="E423" s="154"/>
    </row>
    <row r="424" spans="4:5" ht="32.1" hidden="1" customHeight="1">
      <c r="D424" s="155"/>
      <c r="E424" s="154"/>
    </row>
    <row r="425" spans="4:5" ht="32.1" hidden="1" customHeight="1">
      <c r="D425" s="155"/>
      <c r="E425" s="154"/>
    </row>
    <row r="426" spans="4:5" ht="32.1" hidden="1" customHeight="1">
      <c r="D426" s="155"/>
      <c r="E426" s="154"/>
    </row>
    <row r="427" spans="4:5" ht="32.1" hidden="1" customHeight="1">
      <c r="D427" s="155"/>
      <c r="E427" s="154"/>
    </row>
    <row r="428" spans="4:5" ht="32.1" hidden="1" customHeight="1">
      <c r="D428" s="155"/>
      <c r="E428" s="154"/>
    </row>
    <row r="429" spans="4:5" ht="32.1" hidden="1" customHeight="1">
      <c r="D429" s="155"/>
      <c r="E429" s="154"/>
    </row>
    <row r="430" spans="4:5" ht="32.1" hidden="1" customHeight="1">
      <c r="D430" s="155"/>
      <c r="E430" s="154"/>
    </row>
    <row r="431" spans="4:5" ht="32.1" hidden="1" customHeight="1">
      <c r="D431" s="155"/>
      <c r="E431" s="154"/>
    </row>
    <row r="432" spans="4:5" ht="32.1" hidden="1" customHeight="1">
      <c r="D432" s="155"/>
      <c r="E432" s="154"/>
    </row>
    <row r="433" spans="4:5" ht="32.1" hidden="1" customHeight="1">
      <c r="D433" s="155"/>
      <c r="E433" s="154"/>
    </row>
    <row r="434" spans="4:5" ht="32.1" hidden="1" customHeight="1">
      <c r="D434" s="155"/>
      <c r="E434" s="154"/>
    </row>
    <row r="435" spans="4:5" ht="32.1" hidden="1" customHeight="1">
      <c r="D435" s="155"/>
      <c r="E435" s="154"/>
    </row>
    <row r="436" spans="4:5" ht="32.1" hidden="1" customHeight="1">
      <c r="D436" s="155"/>
      <c r="E436" s="154"/>
    </row>
    <row r="437" spans="4:5" ht="32.1" hidden="1" customHeight="1">
      <c r="D437" s="155"/>
      <c r="E437" s="154"/>
    </row>
    <row r="438" spans="4:5" ht="32.1" hidden="1" customHeight="1">
      <c r="D438" s="155"/>
      <c r="E438" s="154"/>
    </row>
    <row r="439" spans="4:5" ht="32.1" hidden="1" customHeight="1">
      <c r="D439" s="155"/>
      <c r="E439" s="154"/>
    </row>
    <row r="440" spans="4:5" ht="32.1" hidden="1" customHeight="1">
      <c r="D440" s="155"/>
      <c r="E440" s="154"/>
    </row>
    <row r="441" spans="4:5" ht="32.1" hidden="1" customHeight="1">
      <c r="D441" s="155"/>
      <c r="E441" s="154"/>
    </row>
    <row r="442" spans="4:5" ht="32.1" hidden="1" customHeight="1">
      <c r="D442" s="155"/>
      <c r="E442" s="154"/>
    </row>
    <row r="443" spans="4:5" ht="32.1" hidden="1" customHeight="1">
      <c r="D443" s="155"/>
      <c r="E443" s="154"/>
    </row>
    <row r="444" spans="4:5" ht="32.1" hidden="1" customHeight="1">
      <c r="D444" s="155"/>
      <c r="E444" s="154"/>
    </row>
    <row r="445" spans="4:5" ht="32.1" hidden="1" customHeight="1">
      <c r="D445" s="155"/>
      <c r="E445" s="154"/>
    </row>
    <row r="446" spans="4:5" ht="32.1" hidden="1" customHeight="1">
      <c r="D446" s="155"/>
      <c r="E446" s="154"/>
    </row>
    <row r="447" spans="4:5" ht="32.1" hidden="1" customHeight="1">
      <c r="D447" s="155"/>
      <c r="E447" s="154"/>
    </row>
    <row r="448" spans="4:5" ht="32.1" hidden="1" customHeight="1">
      <c r="D448" s="155"/>
      <c r="E448" s="154"/>
    </row>
    <row r="449" spans="4:5" ht="32.1" hidden="1" customHeight="1">
      <c r="D449" s="155"/>
      <c r="E449" s="154"/>
    </row>
    <row r="450" spans="4:5" ht="32.1" hidden="1" customHeight="1">
      <c r="D450" s="155"/>
      <c r="E450" s="154"/>
    </row>
    <row r="451" spans="4:5" ht="32.1" hidden="1" customHeight="1">
      <c r="D451" s="155"/>
      <c r="E451" s="154"/>
    </row>
    <row r="452" spans="4:5" ht="32.1" hidden="1" customHeight="1">
      <c r="D452" s="155"/>
      <c r="E452" s="154"/>
    </row>
    <row r="453" spans="4:5" ht="32.1" hidden="1" customHeight="1">
      <c r="D453" s="155"/>
      <c r="E453" s="154"/>
    </row>
    <row r="454" spans="4:5" ht="32.1" hidden="1" customHeight="1">
      <c r="D454" s="155"/>
      <c r="E454" s="154"/>
    </row>
    <row r="455" spans="4:5" ht="32.1" hidden="1" customHeight="1">
      <c r="D455" s="155"/>
      <c r="E455" s="154"/>
    </row>
    <row r="456" spans="4:5" ht="32.1" hidden="1" customHeight="1">
      <c r="D456" s="155"/>
      <c r="E456" s="154"/>
    </row>
    <row r="457" spans="4:5" ht="32.1" hidden="1" customHeight="1">
      <c r="D457" s="155"/>
      <c r="E457" s="154"/>
    </row>
    <row r="458" spans="4:5" ht="32.1" hidden="1" customHeight="1">
      <c r="D458" s="155"/>
      <c r="E458" s="154"/>
    </row>
    <row r="459" spans="4:5" ht="32.1" hidden="1" customHeight="1">
      <c r="D459" s="155"/>
      <c r="E459" s="154"/>
    </row>
    <row r="460" spans="4:5" ht="32.1" hidden="1" customHeight="1">
      <c r="D460" s="155"/>
      <c r="E460" s="154"/>
    </row>
    <row r="461" spans="4:5" ht="32.1" hidden="1" customHeight="1">
      <c r="D461" s="155"/>
      <c r="E461" s="154"/>
    </row>
    <row r="462" spans="4:5" ht="32.1" hidden="1" customHeight="1">
      <c r="D462" s="155"/>
      <c r="E462" s="154"/>
    </row>
    <row r="463" spans="4:5" ht="32.1" hidden="1" customHeight="1">
      <c r="D463" s="155"/>
      <c r="E463" s="154"/>
    </row>
    <row r="464" spans="4:5" ht="32.1" hidden="1" customHeight="1">
      <c r="D464" s="155"/>
      <c r="E464" s="154"/>
    </row>
    <row r="465" spans="4:5" ht="32.1" hidden="1" customHeight="1">
      <c r="D465" s="155"/>
      <c r="E465" s="154"/>
    </row>
    <row r="466" spans="4:5" ht="32.1" hidden="1" customHeight="1">
      <c r="D466" s="155"/>
      <c r="E466" s="154"/>
    </row>
    <row r="467" spans="4:5" ht="32.1" hidden="1" customHeight="1">
      <c r="D467" s="155"/>
      <c r="E467" s="154"/>
    </row>
    <row r="468" spans="4:5" ht="32.1" hidden="1" customHeight="1">
      <c r="D468" s="155"/>
      <c r="E468" s="154"/>
    </row>
    <row r="469" spans="4:5" ht="32.1" hidden="1" customHeight="1">
      <c r="D469" s="155"/>
      <c r="E469" s="154"/>
    </row>
    <row r="470" spans="4:5" ht="32.1" hidden="1" customHeight="1">
      <c r="D470" s="155"/>
      <c r="E470" s="154"/>
    </row>
    <row r="471" spans="4:5" ht="32.1" hidden="1" customHeight="1">
      <c r="D471" s="155"/>
      <c r="E471" s="154"/>
    </row>
    <row r="472" spans="4:5" ht="32.1" hidden="1" customHeight="1">
      <c r="D472" s="155"/>
      <c r="E472" s="154"/>
    </row>
    <row r="473" spans="4:5" ht="32.1" hidden="1" customHeight="1">
      <c r="D473" s="155"/>
      <c r="E473" s="154"/>
    </row>
    <row r="474" spans="4:5" ht="32.1" hidden="1" customHeight="1">
      <c r="D474" s="155"/>
      <c r="E474" s="154"/>
    </row>
    <row r="475" spans="4:5" ht="32.1" hidden="1" customHeight="1">
      <c r="D475" s="155"/>
      <c r="E475" s="154"/>
    </row>
    <row r="476" spans="4:5" ht="32.1" hidden="1" customHeight="1">
      <c r="D476" s="155"/>
      <c r="E476" s="154"/>
    </row>
    <row r="477" spans="4:5" ht="32.1" hidden="1" customHeight="1">
      <c r="D477" s="155"/>
      <c r="E477" s="154"/>
    </row>
    <row r="478" spans="4:5" ht="32.1" hidden="1" customHeight="1">
      <c r="D478" s="155"/>
      <c r="E478" s="154"/>
    </row>
    <row r="479" spans="4:5" ht="32.1" hidden="1" customHeight="1">
      <c r="D479" s="155"/>
      <c r="E479" s="154"/>
    </row>
    <row r="480" spans="4:5" ht="32.1" hidden="1" customHeight="1">
      <c r="D480" s="155"/>
      <c r="E480" s="154"/>
    </row>
    <row r="481" spans="4:5" ht="32.1" hidden="1" customHeight="1">
      <c r="D481" s="155"/>
      <c r="E481" s="154"/>
    </row>
    <row r="482" spans="4:5" ht="32.1" hidden="1" customHeight="1">
      <c r="D482" s="155"/>
      <c r="E482" s="154"/>
    </row>
    <row r="483" spans="4:5" ht="32.1" hidden="1" customHeight="1">
      <c r="D483" s="155"/>
      <c r="E483" s="154"/>
    </row>
    <row r="484" spans="4:5" ht="32.1" hidden="1" customHeight="1">
      <c r="D484" s="155"/>
      <c r="E484" s="154"/>
    </row>
    <row r="485" spans="4:5" ht="32.1" hidden="1" customHeight="1">
      <c r="D485" s="155"/>
      <c r="E485" s="154"/>
    </row>
    <row r="486" spans="4:5" ht="32.1" hidden="1" customHeight="1">
      <c r="D486" s="155"/>
      <c r="E486" s="154"/>
    </row>
    <row r="487" spans="4:5" ht="32.1" hidden="1" customHeight="1">
      <c r="D487" s="155"/>
      <c r="E487" s="154"/>
    </row>
    <row r="488" spans="4:5" ht="32.1" hidden="1" customHeight="1">
      <c r="D488" s="155"/>
      <c r="E488" s="154"/>
    </row>
    <row r="489" spans="4:5" ht="32.1" hidden="1" customHeight="1">
      <c r="D489" s="155"/>
      <c r="E489" s="154"/>
    </row>
    <row r="490" spans="4:5" ht="32.1" hidden="1" customHeight="1">
      <c r="D490" s="155"/>
      <c r="E490" s="154"/>
    </row>
    <row r="491" spans="4:5" ht="32.1" hidden="1" customHeight="1">
      <c r="D491" s="155"/>
      <c r="E491" s="154"/>
    </row>
    <row r="492" spans="4:5" ht="32.1" hidden="1" customHeight="1">
      <c r="D492" s="155"/>
      <c r="E492" s="154"/>
    </row>
    <row r="493" spans="4:5" ht="32.1" hidden="1" customHeight="1">
      <c r="D493" s="155"/>
      <c r="E493" s="154"/>
    </row>
    <row r="494" spans="4:5" ht="32.1" hidden="1" customHeight="1">
      <c r="D494" s="155"/>
      <c r="E494" s="154"/>
    </row>
    <row r="495" spans="4:5" ht="32.1" hidden="1" customHeight="1">
      <c r="D495" s="155"/>
      <c r="E495" s="154"/>
    </row>
    <row r="496" spans="4:5" ht="32.1" hidden="1" customHeight="1">
      <c r="D496" s="155"/>
      <c r="E496" s="154"/>
    </row>
    <row r="497" spans="4:5" ht="32.1" hidden="1" customHeight="1">
      <c r="D497" s="155"/>
      <c r="E497" s="154"/>
    </row>
    <row r="498" spans="4:5" ht="32.1" hidden="1" customHeight="1">
      <c r="D498" s="155"/>
      <c r="E498" s="154"/>
    </row>
    <row r="499" spans="4:5" ht="32.1" hidden="1" customHeight="1">
      <c r="D499" s="155"/>
      <c r="E499" s="154"/>
    </row>
    <row r="500" spans="4:5" ht="32.1" hidden="1" customHeight="1">
      <c r="D500" s="155"/>
      <c r="E500" s="154"/>
    </row>
    <row r="501" spans="4:5" ht="32.1" hidden="1" customHeight="1">
      <c r="D501" s="155"/>
      <c r="E501" s="154"/>
    </row>
    <row r="502" spans="4:5" ht="32.1" hidden="1" customHeight="1">
      <c r="D502" s="155"/>
      <c r="E502" s="154"/>
    </row>
    <row r="503" spans="4:5" ht="32.1" hidden="1" customHeight="1">
      <c r="D503" s="155"/>
      <c r="E503" s="154"/>
    </row>
    <row r="504" spans="4:5" ht="32.1" hidden="1" customHeight="1">
      <c r="D504" s="155"/>
      <c r="E504" s="154"/>
    </row>
    <row r="505" spans="4:5" ht="32.1" hidden="1" customHeight="1">
      <c r="D505" s="155"/>
      <c r="E505" s="154"/>
    </row>
    <row r="506" spans="4:5" ht="32.1" hidden="1" customHeight="1">
      <c r="D506" s="155"/>
      <c r="E506" s="154"/>
    </row>
    <row r="507" spans="4:5" ht="32.1" hidden="1" customHeight="1">
      <c r="D507" s="155"/>
      <c r="E507" s="154"/>
    </row>
    <row r="508" spans="4:5" ht="32.1" hidden="1" customHeight="1">
      <c r="D508" s="155"/>
      <c r="E508" s="154"/>
    </row>
    <row r="509" spans="4:5" ht="32.1" hidden="1" customHeight="1">
      <c r="D509" s="155"/>
      <c r="E509" s="154"/>
    </row>
    <row r="510" spans="4:5" ht="32.1" hidden="1" customHeight="1">
      <c r="D510" s="155"/>
      <c r="E510" s="154"/>
    </row>
    <row r="511" spans="4:5" ht="32.1" hidden="1" customHeight="1">
      <c r="D511" s="155"/>
      <c r="E511" s="154"/>
    </row>
    <row r="512" spans="4:5" ht="32.1" hidden="1" customHeight="1">
      <c r="D512" s="155"/>
      <c r="E512" s="154"/>
    </row>
    <row r="513" spans="4:5" ht="32.1" hidden="1" customHeight="1">
      <c r="D513" s="155"/>
      <c r="E513" s="154"/>
    </row>
    <row r="514" spans="4:5" ht="32.1" hidden="1" customHeight="1">
      <c r="D514" s="155"/>
      <c r="E514" s="154"/>
    </row>
    <row r="515" spans="4:5" ht="32.1" hidden="1" customHeight="1">
      <c r="D515" s="155"/>
      <c r="E515" s="154"/>
    </row>
    <row r="516" spans="4:5" ht="32.1" hidden="1" customHeight="1">
      <c r="D516" s="155"/>
      <c r="E516" s="154"/>
    </row>
    <row r="517" spans="4:5" ht="32.1" hidden="1" customHeight="1">
      <c r="D517" s="155"/>
      <c r="E517" s="154"/>
    </row>
    <row r="518" spans="4:5" ht="32.1" hidden="1" customHeight="1">
      <c r="D518" s="155"/>
      <c r="E518" s="154"/>
    </row>
    <row r="519" spans="4:5" ht="32.1" hidden="1" customHeight="1">
      <c r="D519" s="155"/>
      <c r="E519" s="154"/>
    </row>
    <row r="520" spans="4:5" ht="32.1" hidden="1" customHeight="1">
      <c r="D520" s="155"/>
      <c r="E520" s="154"/>
    </row>
    <row r="521" spans="4:5" ht="32.1" hidden="1" customHeight="1">
      <c r="D521" s="155"/>
      <c r="E521" s="154"/>
    </row>
    <row r="522" spans="4:5" ht="32.1" hidden="1" customHeight="1">
      <c r="D522" s="155"/>
      <c r="E522" s="154"/>
    </row>
    <row r="523" spans="4:5" ht="32.1" hidden="1" customHeight="1">
      <c r="D523" s="155"/>
      <c r="E523" s="154"/>
    </row>
    <row r="524" spans="4:5" ht="32.1" hidden="1" customHeight="1">
      <c r="D524" s="155"/>
      <c r="E524" s="154"/>
    </row>
    <row r="525" spans="4:5" ht="32.1" hidden="1" customHeight="1">
      <c r="D525" s="155"/>
      <c r="E525" s="154"/>
    </row>
    <row r="526" spans="4:5" ht="32.1" hidden="1" customHeight="1">
      <c r="D526" s="155"/>
      <c r="E526" s="154"/>
    </row>
    <row r="527" spans="4:5" ht="32.1" hidden="1" customHeight="1">
      <c r="D527" s="155"/>
      <c r="E527" s="154"/>
    </row>
    <row r="528" spans="4:5" ht="32.1" hidden="1" customHeight="1">
      <c r="D528" s="155"/>
      <c r="E528" s="154"/>
    </row>
    <row r="529" spans="4:5" ht="32.1" hidden="1" customHeight="1">
      <c r="D529" s="155"/>
      <c r="E529" s="154"/>
    </row>
    <row r="530" spans="4:5" ht="32.1" hidden="1" customHeight="1">
      <c r="D530" s="155"/>
      <c r="E530" s="154"/>
    </row>
    <row r="531" spans="4:5" ht="32.1" hidden="1" customHeight="1">
      <c r="D531" s="155"/>
      <c r="E531" s="154"/>
    </row>
    <row r="532" spans="4:5" ht="32.1" hidden="1" customHeight="1">
      <c r="D532" s="155"/>
      <c r="E532" s="154"/>
    </row>
    <row r="533" spans="4:5" ht="32.1" hidden="1" customHeight="1">
      <c r="D533" s="155"/>
      <c r="E533" s="154"/>
    </row>
    <row r="534" spans="4:5" ht="32.1" hidden="1" customHeight="1">
      <c r="D534" s="155"/>
      <c r="E534" s="154"/>
    </row>
    <row r="535" spans="4:5" ht="32.1" hidden="1" customHeight="1">
      <c r="D535" s="155"/>
      <c r="E535" s="154"/>
    </row>
    <row r="536" spans="4:5" ht="32.1" hidden="1" customHeight="1">
      <c r="D536" s="155"/>
      <c r="E536" s="154"/>
    </row>
    <row r="537" spans="4:5" ht="32.1" hidden="1" customHeight="1">
      <c r="D537" s="155"/>
      <c r="E537" s="154"/>
    </row>
    <row r="538" spans="4:5" ht="32.1" hidden="1" customHeight="1">
      <c r="D538" s="155"/>
      <c r="E538" s="154"/>
    </row>
    <row r="539" spans="4:5" ht="32.1" hidden="1" customHeight="1">
      <c r="D539" s="155"/>
      <c r="E539" s="154"/>
    </row>
    <row r="540" spans="4:5" ht="32.1" hidden="1" customHeight="1">
      <c r="D540" s="155"/>
      <c r="E540" s="154"/>
    </row>
    <row r="541" spans="4:5" ht="32.1" hidden="1" customHeight="1">
      <c r="D541" s="155"/>
      <c r="E541" s="154"/>
    </row>
    <row r="542" spans="4:5" ht="32.1" hidden="1" customHeight="1">
      <c r="D542" s="155"/>
      <c r="E542" s="154"/>
    </row>
    <row r="543" spans="4:5" ht="32.1" hidden="1" customHeight="1">
      <c r="D543" s="155"/>
      <c r="E543" s="154"/>
    </row>
  </sheetData>
  <autoFilter ref="A1:P277"/>
  <mergeCells count="6">
    <mergeCell ref="M1:M2"/>
    <mergeCell ref="A1:A2"/>
    <mergeCell ref="B1:B2"/>
    <mergeCell ref="C1:C2"/>
    <mergeCell ref="D1:D2"/>
    <mergeCell ref="E1:E2"/>
  </mergeCells>
  <phoneticPr fontId="11" type="noConversion"/>
  <printOptions horizontalCentered="1"/>
  <pageMargins left="0.19685039370078741" right="0.19685039370078741" top="1.3779527559055118" bottom="0.78740157480314965" header="0.78740157480314965" footer="0.19685039370078741"/>
  <pageSetup paperSize="9" orientation="portrait" blackAndWhite="1" r:id="rId1"/>
  <headerFooter alignWithMargins="0">
    <oddHeader>&amp;C&amp;"굴림,굵게"&amp;18용 지 조 서 (&amp;P)&amp;R
인천광역시 강화군 내가면 고천리</oddHead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30"/>
  <sheetViews>
    <sheetView showGridLines="0" showZeros="0" view="pageBreakPreview" workbookViewId="0">
      <selection sqref="A1:A2"/>
    </sheetView>
  </sheetViews>
  <sheetFormatPr defaultRowHeight="12"/>
  <cols>
    <col min="1" max="1" width="7.88671875" style="140" customWidth="1"/>
    <col min="2" max="2" width="6.77734375" style="95" customWidth="1"/>
    <col min="3" max="3" width="1.33203125" style="95" customWidth="1"/>
    <col min="4" max="4" width="7.77734375" style="95" customWidth="1"/>
    <col min="5" max="5" width="6.77734375" style="95" customWidth="1"/>
    <col min="6" max="6" width="1.33203125" style="95" customWidth="1"/>
    <col min="7" max="7" width="7.77734375" style="95" customWidth="1"/>
    <col min="8" max="8" width="6.77734375" style="95" customWidth="1"/>
    <col min="9" max="9" width="1.33203125" style="95" customWidth="1"/>
    <col min="10" max="10" width="7.77734375" style="95" customWidth="1"/>
    <col min="11" max="11" width="6.77734375" style="95" customWidth="1"/>
    <col min="12" max="12" width="1.33203125" style="95" customWidth="1"/>
    <col min="13" max="14" width="7.77734375" style="95" customWidth="1"/>
    <col min="15" max="16" width="8.33203125" style="184" customWidth="1"/>
    <col min="17" max="19" width="8.88671875" style="184"/>
    <col min="20" max="16384" width="8.88671875" style="95"/>
  </cols>
  <sheetData>
    <row r="1" spans="1:19" s="139" customFormat="1" ht="30" customHeight="1">
      <c r="A1" s="163" t="s">
        <v>77</v>
      </c>
      <c r="B1" s="96"/>
      <c r="C1" s="96"/>
      <c r="D1" s="94"/>
      <c r="E1" s="94"/>
      <c r="F1" s="96"/>
      <c r="G1" s="96"/>
      <c r="H1" s="94"/>
      <c r="I1" s="96"/>
      <c r="J1" s="96"/>
      <c r="K1" s="96"/>
      <c r="L1" s="96"/>
      <c r="M1" s="96"/>
      <c r="N1" s="96"/>
      <c r="O1" s="74"/>
      <c r="P1" s="74"/>
      <c r="Q1" s="74"/>
      <c r="R1" s="74"/>
      <c r="S1" s="74"/>
    </row>
    <row r="2" spans="1:19" s="142" customFormat="1" ht="15.95" customHeight="1">
      <c r="A2" s="140"/>
      <c r="B2" s="95"/>
      <c r="C2" s="95"/>
      <c r="D2" s="95"/>
      <c r="E2" s="95"/>
      <c r="F2" s="95"/>
      <c r="G2" s="95"/>
      <c r="H2" s="95"/>
      <c r="I2" s="95"/>
      <c r="J2" s="95"/>
      <c r="L2" s="141"/>
      <c r="N2" s="164"/>
      <c r="O2" s="74"/>
      <c r="P2" s="74"/>
      <c r="Q2" s="74"/>
      <c r="R2" s="74"/>
      <c r="S2" s="74"/>
    </row>
    <row r="3" spans="1:19" s="143" customFormat="1" ht="27.95" customHeight="1">
      <c r="A3" s="488" t="s">
        <v>2</v>
      </c>
      <c r="B3" s="165" t="s">
        <v>3</v>
      </c>
      <c r="C3" s="165"/>
      <c r="D3" s="165"/>
      <c r="E3" s="165" t="s">
        <v>80</v>
      </c>
      <c r="F3" s="165"/>
      <c r="G3" s="165"/>
      <c r="H3" s="165" t="s">
        <v>81</v>
      </c>
      <c r="I3" s="165"/>
      <c r="J3" s="165"/>
      <c r="K3" s="165" t="s">
        <v>82</v>
      </c>
      <c r="L3" s="165"/>
      <c r="M3" s="165"/>
      <c r="N3" s="490" t="s">
        <v>22</v>
      </c>
      <c r="O3" s="74"/>
      <c r="P3" s="74"/>
      <c r="Q3" s="74"/>
      <c r="R3" s="74"/>
      <c r="S3" s="74"/>
    </row>
    <row r="4" spans="1:19" s="143" customFormat="1" ht="27.95" customHeight="1">
      <c r="A4" s="489"/>
      <c r="B4" s="169" t="s">
        <v>78</v>
      </c>
      <c r="C4" s="170" t="s">
        <v>5</v>
      </c>
      <c r="D4" s="171" t="s">
        <v>79</v>
      </c>
      <c r="E4" s="169" t="s">
        <v>4</v>
      </c>
      <c r="F4" s="170" t="s">
        <v>5</v>
      </c>
      <c r="G4" s="171" t="s">
        <v>79</v>
      </c>
      <c r="H4" s="169" t="s">
        <v>4</v>
      </c>
      <c r="I4" s="170" t="s">
        <v>5</v>
      </c>
      <c r="J4" s="171" t="s">
        <v>79</v>
      </c>
      <c r="K4" s="169" t="s">
        <v>4</v>
      </c>
      <c r="L4" s="170" t="s">
        <v>5</v>
      </c>
      <c r="M4" s="171" t="s">
        <v>79</v>
      </c>
      <c r="N4" s="491"/>
      <c r="O4" s="74"/>
      <c r="P4" s="74"/>
      <c r="Q4" s="74"/>
      <c r="R4" s="74"/>
      <c r="S4" s="74"/>
    </row>
    <row r="5" spans="1:19" s="143" customFormat="1" ht="23.1" customHeight="1">
      <c r="A5" s="179" t="s">
        <v>3</v>
      </c>
      <c r="B5" s="172">
        <f>SUM(B6:B30)</f>
        <v>3</v>
      </c>
      <c r="C5" s="173" t="s">
        <v>5</v>
      </c>
      <c r="D5" s="174">
        <f>SUM(D6:D30)</f>
        <v>0</v>
      </c>
      <c r="E5" s="172">
        <f>SUM(E6:E30)</f>
        <v>1</v>
      </c>
      <c r="F5" s="173" t="s">
        <v>5</v>
      </c>
      <c r="G5" s="174">
        <f>SUM(G6:G30)</f>
        <v>0</v>
      </c>
      <c r="H5" s="172">
        <f>SUM(H6:H30)</f>
        <v>0</v>
      </c>
      <c r="I5" s="173" t="s">
        <v>5</v>
      </c>
      <c r="J5" s="174">
        <f>SUM(J6:J30)</f>
        <v>0</v>
      </c>
      <c r="K5" s="172">
        <f>SUM(K6:K30)</f>
        <v>2</v>
      </c>
      <c r="L5" s="173" t="s">
        <v>5</v>
      </c>
      <c r="M5" s="174">
        <f>SUM(M6:M30)</f>
        <v>0</v>
      </c>
      <c r="N5" s="168"/>
      <c r="O5" s="74" t="str">
        <f>IF(D5=(G5+J5+M5),"ok","false")</f>
        <v>ok</v>
      </c>
      <c r="P5" s="74"/>
      <c r="Q5" s="74" t="s">
        <v>70</v>
      </c>
      <c r="R5" s="74" t="s">
        <v>71</v>
      </c>
      <c r="S5" s="74" t="s">
        <v>98</v>
      </c>
    </row>
    <row r="6" spans="1:19" s="143" customFormat="1" ht="23.1" customHeight="1">
      <c r="A6" s="180" t="s">
        <v>7</v>
      </c>
      <c r="B6" s="175">
        <f>COUNTIF(내리2구간!$C$3:$C$1121,P6)</f>
        <v>2</v>
      </c>
      <c r="C6" s="76" t="s">
        <v>5</v>
      </c>
      <c r="D6" s="176">
        <f>SUMIF(내리2구간!$C$3:$C$1121,P6,내리2구간!$E$3:$E$1121)</f>
        <v>0</v>
      </c>
      <c r="E6" s="175">
        <f>COUNTIF(내리2구간!$P$3:$P$1121,Q6)</f>
        <v>0</v>
      </c>
      <c r="F6" s="76" t="s">
        <v>5</v>
      </c>
      <c r="G6" s="176">
        <f>SUMIF(내리2구간!$P$3:$P$1121,Q6,내리2구간!$E$3:$E$1121)</f>
        <v>0</v>
      </c>
      <c r="H6" s="175">
        <f>COUNTIF(내리2구간!$P$3:$P$1121,R6)</f>
        <v>0</v>
      </c>
      <c r="I6" s="76" t="s">
        <v>5</v>
      </c>
      <c r="J6" s="176">
        <f>SUMIF(내리2구간!$P$3:$P$1121,R6,내리2구간!$E$3:$E$1121)</f>
        <v>0</v>
      </c>
      <c r="K6" s="175">
        <f>COUNTIF(내리2구간!$P$3:$P$1121,S6)</f>
        <v>2</v>
      </c>
      <c r="L6" s="76" t="s">
        <v>5</v>
      </c>
      <c r="M6" s="176">
        <f>SUMIF(내리2구간!$P$3:$P$1121,S6,내리2구간!$E$3:$E$1121)</f>
        <v>0</v>
      </c>
      <c r="N6" s="166"/>
      <c r="O6" s="74" t="str">
        <f t="shared" ref="O6:O30" si="0">IF(D6=(G6+J6+M6),"ok","false")</f>
        <v>ok</v>
      </c>
      <c r="P6" s="74" t="s">
        <v>62</v>
      </c>
      <c r="Q6" s="183" t="str">
        <f>CONCATENATE($P6,Q$5)</f>
        <v>전국</v>
      </c>
      <c r="R6" s="183" t="str">
        <f t="shared" ref="R6:S21" si="1">CONCATENATE($P6,R$5)</f>
        <v>전공</v>
      </c>
      <c r="S6" s="183" t="str">
        <f t="shared" si="1"/>
        <v>전사</v>
      </c>
    </row>
    <row r="7" spans="1:19" s="143" customFormat="1" ht="23.1" customHeight="1">
      <c r="A7" s="180" t="s">
        <v>8</v>
      </c>
      <c r="B7" s="175">
        <f>COUNTIF(내리2구간!$C$3:$C$1121,P7)</f>
        <v>0</v>
      </c>
      <c r="C7" s="76" t="s">
        <v>5</v>
      </c>
      <c r="D7" s="176">
        <f>SUMIF(내리2구간!$C$3:$C$1121,P7,내리2구간!$E$3:$E$1121)</f>
        <v>0</v>
      </c>
      <c r="E7" s="175">
        <f>COUNTIF(내리2구간!$P$3:$P$1121,"답국")</f>
        <v>0</v>
      </c>
      <c r="F7" s="76" t="s">
        <v>5</v>
      </c>
      <c r="G7" s="176">
        <f>SUMIF(내리2구간!$P$3:$P$1121,Q7,내리2구간!$E$3:$E$1121)</f>
        <v>0</v>
      </c>
      <c r="H7" s="175">
        <f>COUNTIF(내리2구간!$P$3:$P$1121,R7)</f>
        <v>0</v>
      </c>
      <c r="I7" s="76" t="s">
        <v>5</v>
      </c>
      <c r="J7" s="176">
        <f>SUMIF(내리2구간!$P$3:$P$1121,R7,내리2구간!$E$3:$E$1121)</f>
        <v>0</v>
      </c>
      <c r="K7" s="175">
        <f>COUNTIF(내리2구간!$P$3:$P$1121,S7)</f>
        <v>0</v>
      </c>
      <c r="L7" s="76" t="s">
        <v>5</v>
      </c>
      <c r="M7" s="176">
        <f>SUMIF(내리2구간!$P$3:$P$1121,S7,내리2구간!$E$3:$E$1121)</f>
        <v>0</v>
      </c>
      <c r="N7" s="166"/>
      <c r="O7" s="74" t="str">
        <f t="shared" si="0"/>
        <v>ok</v>
      </c>
      <c r="P7" s="74" t="s">
        <v>67</v>
      </c>
      <c r="Q7" s="183" t="str">
        <f t="shared" ref="Q7:S30" si="2">CONCATENATE($P7,Q$5)</f>
        <v>답국</v>
      </c>
      <c r="R7" s="183" t="str">
        <f t="shared" si="1"/>
        <v>답공</v>
      </c>
      <c r="S7" s="183" t="str">
        <f t="shared" si="1"/>
        <v>답사</v>
      </c>
    </row>
    <row r="8" spans="1:19" s="143" customFormat="1" ht="23.1" customHeight="1">
      <c r="A8" s="181" t="s">
        <v>9</v>
      </c>
      <c r="B8" s="175">
        <f>COUNTIF(내리2구간!$C$3:$C$1121,P8)</f>
        <v>0</v>
      </c>
      <c r="C8" s="76" t="s">
        <v>5</v>
      </c>
      <c r="D8" s="176">
        <f>SUMIF(내리2구간!$C$3:$C$1121,P8,내리2구간!$E$3:$E$1121)</f>
        <v>0</v>
      </c>
      <c r="E8" s="175">
        <f>COUNTIF(내리2구간!$P$3:$P$1121,"임국")</f>
        <v>0</v>
      </c>
      <c r="F8" s="76" t="s">
        <v>5</v>
      </c>
      <c r="G8" s="176">
        <f>SUMIF(내리2구간!$P$3:$P$1121,Q8,내리2구간!$E$3:$E$1121)</f>
        <v>0</v>
      </c>
      <c r="H8" s="175">
        <f>COUNTIF(내리2구간!$P$3:$P$1121,R8)</f>
        <v>0</v>
      </c>
      <c r="I8" s="76" t="s">
        <v>5</v>
      </c>
      <c r="J8" s="176">
        <f>SUMIF(내리2구간!$P$3:$P$1121,R8,내리2구간!$E$3:$E$1121)</f>
        <v>0</v>
      </c>
      <c r="K8" s="175">
        <f>COUNTIF(내리2구간!$P$3:$P$1121,S8)</f>
        <v>0</v>
      </c>
      <c r="L8" s="76" t="s">
        <v>5</v>
      </c>
      <c r="M8" s="176">
        <f>SUMIF(내리2구간!$P$3:$P$1121,S8,내리2구간!$E$3:$E$1121)</f>
        <v>0</v>
      </c>
      <c r="N8" s="166"/>
      <c r="O8" s="74" t="str">
        <f t="shared" si="0"/>
        <v>ok</v>
      </c>
      <c r="P8" s="74" t="s">
        <v>64</v>
      </c>
      <c r="Q8" s="183" t="str">
        <f t="shared" si="2"/>
        <v>임국</v>
      </c>
      <c r="R8" s="183" t="str">
        <f t="shared" si="1"/>
        <v>임공</v>
      </c>
      <c r="S8" s="183" t="str">
        <f t="shared" si="1"/>
        <v>임사</v>
      </c>
    </row>
    <row r="9" spans="1:19" s="143" customFormat="1" ht="23.1" customHeight="1">
      <c r="A9" s="180" t="s">
        <v>10</v>
      </c>
      <c r="B9" s="175">
        <f>COUNTIF(내리2구간!$C$3:$C$1121,P9)</f>
        <v>0</v>
      </c>
      <c r="C9" s="76" t="s">
        <v>5</v>
      </c>
      <c r="D9" s="176">
        <f>SUMIF(내리2구간!$C$3:$C$1121,P9,내리2구간!$E$3:$E$1121)</f>
        <v>0</v>
      </c>
      <c r="E9" s="175">
        <f>COUNTIF(내리2구간!$P$3:$P$1121,"대국")</f>
        <v>0</v>
      </c>
      <c r="F9" s="76" t="s">
        <v>5</v>
      </c>
      <c r="G9" s="176">
        <f>SUMIF(내리2구간!$P$3:$P$1121,Q9,내리2구간!$E$3:$E$1121)</f>
        <v>0</v>
      </c>
      <c r="H9" s="175">
        <f>COUNTIF(내리2구간!$P$3:$P$1121,R9)</f>
        <v>0</v>
      </c>
      <c r="I9" s="76" t="s">
        <v>5</v>
      </c>
      <c r="J9" s="176">
        <f>SUMIF(내리2구간!$P$3:$P$1121,R9,내리2구간!$E$3:$E$1121)</f>
        <v>0</v>
      </c>
      <c r="K9" s="175">
        <f>COUNTIF(내리2구간!$P$3:$P$1121,S9)</f>
        <v>0</v>
      </c>
      <c r="L9" s="76" t="s">
        <v>5</v>
      </c>
      <c r="M9" s="176">
        <f>SUMIF(내리2구간!$P$3:$P$1121,S9,내리2구간!$E$3:$E$1121)</f>
        <v>0</v>
      </c>
      <c r="N9" s="166"/>
      <c r="O9" s="74" t="str">
        <f t="shared" si="0"/>
        <v>ok</v>
      </c>
      <c r="P9" s="74" t="s">
        <v>61</v>
      </c>
      <c r="Q9" s="183" t="str">
        <f t="shared" si="2"/>
        <v>대국</v>
      </c>
      <c r="R9" s="183" t="str">
        <f t="shared" si="1"/>
        <v>대공</v>
      </c>
      <c r="S9" s="183" t="str">
        <f t="shared" si="1"/>
        <v>대사</v>
      </c>
    </row>
    <row r="10" spans="1:19" s="143" customFormat="1" ht="23.1" customHeight="1">
      <c r="A10" s="180" t="s">
        <v>11</v>
      </c>
      <c r="B10" s="175">
        <f>COUNTIF(내리2구간!$C$3:$C$1121,P10)</f>
        <v>1</v>
      </c>
      <c r="C10" s="76" t="s">
        <v>5</v>
      </c>
      <c r="D10" s="176">
        <f>SUMIF(내리2구간!$C$3:$C$1121,P10,내리2구간!$E$3:$E$1121)</f>
        <v>0</v>
      </c>
      <c r="E10" s="175">
        <f>COUNTIF(내리2구간!$P$3:$P$1121,"도국")</f>
        <v>1</v>
      </c>
      <c r="F10" s="76" t="s">
        <v>5</v>
      </c>
      <c r="G10" s="176">
        <f>SUMIF(내리2구간!$P$3:$P$1121,Q10,내리2구간!$E$3:$E$1121)</f>
        <v>0</v>
      </c>
      <c r="H10" s="175">
        <f>COUNTIF(내리2구간!$P$3:$P$1121,R10)</f>
        <v>0</v>
      </c>
      <c r="I10" s="76" t="s">
        <v>5</v>
      </c>
      <c r="J10" s="176">
        <f>SUMIF(내리2구간!$P$3:$P$1121,R10,내리2구간!$E$3:$E$1121)</f>
        <v>0</v>
      </c>
      <c r="K10" s="175">
        <f>COUNTIF(내리2구간!$P$3:$P$1121,S10)</f>
        <v>0</v>
      </c>
      <c r="L10" s="76" t="s">
        <v>5</v>
      </c>
      <c r="M10" s="176">
        <f>SUMIF(내리2구간!$P$3:$P$1121,S10,내리2구간!$E$3:$E$1121)</f>
        <v>0</v>
      </c>
      <c r="N10" s="166"/>
      <c r="O10" s="74" t="str">
        <f t="shared" si="0"/>
        <v>ok</v>
      </c>
      <c r="P10" s="74" t="s">
        <v>63</v>
      </c>
      <c r="Q10" s="183" t="str">
        <f t="shared" si="2"/>
        <v>도국</v>
      </c>
      <c r="R10" s="183" t="str">
        <f t="shared" si="1"/>
        <v>도공</v>
      </c>
      <c r="S10" s="183" t="str">
        <f t="shared" si="1"/>
        <v>도사</v>
      </c>
    </row>
    <row r="11" spans="1:19" s="143" customFormat="1" ht="23.1" customHeight="1">
      <c r="A11" s="180" t="s">
        <v>13</v>
      </c>
      <c r="B11" s="175">
        <f>COUNTIF(내리2구간!$C$3:$C$1121,P11)</f>
        <v>0</v>
      </c>
      <c r="C11" s="76" t="s">
        <v>5</v>
      </c>
      <c r="D11" s="176">
        <f>SUMIF(내리2구간!$C$3:$C$1121,P11,내리2구간!$E$3:$E$1121)</f>
        <v>0</v>
      </c>
      <c r="E11" s="175">
        <f>COUNTIF(내리2구간!$P$3:$P$1121,"구국")</f>
        <v>0</v>
      </c>
      <c r="F11" s="76" t="s">
        <v>5</v>
      </c>
      <c r="G11" s="176">
        <f>SUMIF(내리2구간!$P$3:$P$1121,Q11,내리2구간!$E$3:$E$1121)</f>
        <v>0</v>
      </c>
      <c r="H11" s="175">
        <f>COUNTIF(내리2구간!$P$3:$P$1121,R11)</f>
        <v>0</v>
      </c>
      <c r="I11" s="76" t="s">
        <v>5</v>
      </c>
      <c r="J11" s="176">
        <f>SUMIF(내리2구간!$P$3:$P$1121,R11,내리2구간!$E$3:$E$1121)</f>
        <v>0</v>
      </c>
      <c r="K11" s="175">
        <f>COUNTIF(내리2구간!$P$3:$P$1121,S11)</f>
        <v>0</v>
      </c>
      <c r="L11" s="76" t="s">
        <v>5</v>
      </c>
      <c r="M11" s="176">
        <f>SUMIF(내리2구간!$P$3:$P$1121,S11,내리2구간!$E$3:$E$1121)</f>
        <v>0</v>
      </c>
      <c r="N11" s="166"/>
      <c r="O11" s="74" t="str">
        <f t="shared" si="0"/>
        <v>ok</v>
      </c>
      <c r="P11" s="74" t="s">
        <v>69</v>
      </c>
      <c r="Q11" s="183" t="str">
        <f t="shared" si="2"/>
        <v>구국</v>
      </c>
      <c r="R11" s="183" t="str">
        <f t="shared" si="1"/>
        <v>구공</v>
      </c>
      <c r="S11" s="183" t="str">
        <f t="shared" si="1"/>
        <v>구사</v>
      </c>
    </row>
    <row r="12" spans="1:19" s="143" customFormat="1" ht="23.1" customHeight="1">
      <c r="A12" s="180" t="s">
        <v>12</v>
      </c>
      <c r="B12" s="175">
        <f>COUNTIF(내리2구간!$C$3:$C$1121,P12)</f>
        <v>0</v>
      </c>
      <c r="C12" s="76" t="s">
        <v>5</v>
      </c>
      <c r="D12" s="176">
        <f>SUMIF(내리2구간!$C$3:$C$1121,P12,내리2구간!$E$3:$E$1121)</f>
        <v>0</v>
      </c>
      <c r="E12" s="175">
        <f>COUNTIF(내리2구간!$P$3:$P$1121,"천국")</f>
        <v>0</v>
      </c>
      <c r="F12" s="76" t="s">
        <v>5</v>
      </c>
      <c r="G12" s="176">
        <f>SUMIF(내리2구간!$P$3:$P$1121,Q12,내리2구간!$E$3:$E$1121)</f>
        <v>0</v>
      </c>
      <c r="H12" s="175">
        <f>COUNTIF(내리2구간!$P$3:$P$1121,R12)</f>
        <v>0</v>
      </c>
      <c r="I12" s="76" t="s">
        <v>5</v>
      </c>
      <c r="J12" s="176">
        <f>SUMIF(내리2구간!$P$3:$P$1121,R12,내리2구간!$E$3:$E$1121)</f>
        <v>0</v>
      </c>
      <c r="K12" s="175">
        <f>COUNTIF(내리2구간!$P$3:$P$1121,S12)</f>
        <v>0</v>
      </c>
      <c r="L12" s="76" t="s">
        <v>5</v>
      </c>
      <c r="M12" s="176">
        <f>SUMIF(내리2구간!$P$3:$P$1121,S12,내리2구간!$E$3:$E$1121)</f>
        <v>0</v>
      </c>
      <c r="N12" s="166"/>
      <c r="O12" s="74" t="str">
        <f t="shared" si="0"/>
        <v>ok</v>
      </c>
      <c r="P12" s="74" t="s">
        <v>83</v>
      </c>
      <c r="Q12" s="183" t="str">
        <f t="shared" si="2"/>
        <v>천국</v>
      </c>
      <c r="R12" s="183" t="str">
        <f t="shared" si="1"/>
        <v>천공</v>
      </c>
      <c r="S12" s="183" t="str">
        <f t="shared" si="1"/>
        <v>천사</v>
      </c>
    </row>
    <row r="13" spans="1:19" s="143" customFormat="1" ht="23.1" customHeight="1">
      <c r="A13" s="180" t="s">
        <v>15</v>
      </c>
      <c r="B13" s="175">
        <f>COUNTIF(내리2구간!$C$3:$C$1121,P13)</f>
        <v>0</v>
      </c>
      <c r="C13" s="76" t="s">
        <v>5</v>
      </c>
      <c r="D13" s="176">
        <f>SUMIF(내리2구간!$C$3:$C$1121,P13,내리2구간!$E$3:$E$1121)</f>
        <v>0</v>
      </c>
      <c r="E13" s="175">
        <f>COUNTIF(내리2구간!$P$3:$P$1121,"유국")</f>
        <v>0</v>
      </c>
      <c r="F13" s="76" t="s">
        <v>5</v>
      </c>
      <c r="G13" s="176">
        <f>SUMIF(내리2구간!$P$3:$P$1121,Q13,내리2구간!$E$3:$E$1121)</f>
        <v>0</v>
      </c>
      <c r="H13" s="175">
        <f>COUNTIF(내리2구간!$P$3:$P$1121,R13)</f>
        <v>0</v>
      </c>
      <c r="I13" s="76" t="s">
        <v>5</v>
      </c>
      <c r="J13" s="176">
        <f>SUMIF(내리2구간!$P$3:$P$1121,R13,내리2구간!$E$3:$E$1121)</f>
        <v>0</v>
      </c>
      <c r="K13" s="175">
        <f>COUNTIF(내리2구간!$P$3:$P$1121,S13)</f>
        <v>0</v>
      </c>
      <c r="L13" s="76" t="s">
        <v>5</v>
      </c>
      <c r="M13" s="176">
        <f>SUMIF(내리2구간!$P$3:$P$1121,S13,내리2구간!$E$3:$E$1121)</f>
        <v>0</v>
      </c>
      <c r="N13" s="166"/>
      <c r="O13" s="74" t="str">
        <f t="shared" si="0"/>
        <v>ok</v>
      </c>
      <c r="P13" s="74" t="s">
        <v>84</v>
      </c>
      <c r="Q13" s="183" t="str">
        <f t="shared" si="2"/>
        <v>유국</v>
      </c>
      <c r="R13" s="183" t="str">
        <f t="shared" si="1"/>
        <v>유공</v>
      </c>
      <c r="S13" s="183" t="str">
        <f t="shared" si="1"/>
        <v>유사</v>
      </c>
    </row>
    <row r="14" spans="1:19" s="143" customFormat="1" ht="23.1" customHeight="1">
      <c r="A14" s="180" t="s">
        <v>14</v>
      </c>
      <c r="B14" s="175">
        <f>COUNTIF(내리2구간!$C$3:$C$1121,P14)</f>
        <v>0</v>
      </c>
      <c r="C14" s="76" t="s">
        <v>5</v>
      </c>
      <c r="D14" s="176">
        <f>SUMIF(내리2구간!$C$3:$C$1121,P14,내리2구간!$E$3:$E$1121)</f>
        <v>0</v>
      </c>
      <c r="E14" s="175">
        <f>COUNTIF(내리2구간!$P$3:$P$1121,"제국")</f>
        <v>0</v>
      </c>
      <c r="F14" s="76" t="s">
        <v>5</v>
      </c>
      <c r="G14" s="176">
        <f>SUMIF(내리2구간!$P$3:$P$1121,Q14,내리2구간!$E$3:$E$1121)</f>
        <v>0</v>
      </c>
      <c r="H14" s="175">
        <f>COUNTIF(내리2구간!$P$3:$P$1121,R14)</f>
        <v>0</v>
      </c>
      <c r="I14" s="76" t="s">
        <v>5</v>
      </c>
      <c r="J14" s="176">
        <f>SUMIF(내리2구간!$P$3:$P$1121,R14,내리2구간!$E$3:$E$1121)</f>
        <v>0</v>
      </c>
      <c r="K14" s="175">
        <f>COUNTIF(내리2구간!$P$3:$P$1121,S14)</f>
        <v>0</v>
      </c>
      <c r="L14" s="76" t="s">
        <v>5</v>
      </c>
      <c r="M14" s="176">
        <f>SUMIF(내리2구간!$P$3:$P$1121,S14,내리2구간!$E$3:$E$1121)</f>
        <v>0</v>
      </c>
      <c r="N14" s="166"/>
      <c r="O14" s="74" t="str">
        <f t="shared" si="0"/>
        <v>ok</v>
      </c>
      <c r="P14" s="74" t="s">
        <v>85</v>
      </c>
      <c r="Q14" s="183" t="str">
        <f t="shared" si="2"/>
        <v>제국</v>
      </c>
      <c r="R14" s="183" t="str">
        <f t="shared" si="1"/>
        <v>제공</v>
      </c>
      <c r="S14" s="183" t="str">
        <f t="shared" si="1"/>
        <v>제사</v>
      </c>
    </row>
    <row r="15" spans="1:19" s="143" customFormat="1" ht="23.1" customHeight="1">
      <c r="A15" s="180" t="s">
        <v>16</v>
      </c>
      <c r="B15" s="175">
        <f>COUNTIF(내리2구간!$C$3:$C$1121,P15)</f>
        <v>0</v>
      </c>
      <c r="C15" s="76" t="s">
        <v>5</v>
      </c>
      <c r="D15" s="176">
        <f>SUMIF(내리2구간!$C$3:$C$1121,P15,내리2구간!$E$3:$E$1121)</f>
        <v>0</v>
      </c>
      <c r="E15" s="175">
        <f>COUNTIF(내리2구간!$P$3:$P$1121,"과국")</f>
        <v>0</v>
      </c>
      <c r="F15" s="76" t="s">
        <v>5</v>
      </c>
      <c r="G15" s="176">
        <f>SUMIF(내리2구간!$P$3:$P$1121,Q15,내리2구간!$E$3:$E$1121)</f>
        <v>0</v>
      </c>
      <c r="H15" s="175">
        <f>COUNTIF(내리2구간!$P$3:$P$1121,R15)</f>
        <v>0</v>
      </c>
      <c r="I15" s="76" t="s">
        <v>5</v>
      </c>
      <c r="J15" s="176">
        <f>SUMIF(내리2구간!$P$3:$P$1121,R15,내리2구간!$E$3:$E$1121)</f>
        <v>0</v>
      </c>
      <c r="K15" s="175">
        <f>COUNTIF(내리2구간!$P$3:$P$1121,S15)</f>
        <v>0</v>
      </c>
      <c r="L15" s="76" t="s">
        <v>5</v>
      </c>
      <c r="M15" s="176">
        <f>SUMIF(내리2구간!$P$3:$P$1121,S15,내리2구간!$E$3:$E$1121)</f>
        <v>0</v>
      </c>
      <c r="N15" s="166"/>
      <c r="O15" s="74" t="str">
        <f t="shared" si="0"/>
        <v>ok</v>
      </c>
      <c r="P15" s="74" t="s">
        <v>86</v>
      </c>
      <c r="Q15" s="183" t="str">
        <f t="shared" si="2"/>
        <v>과국</v>
      </c>
      <c r="R15" s="183" t="str">
        <f t="shared" si="1"/>
        <v>과공</v>
      </c>
      <c r="S15" s="183" t="str">
        <f t="shared" si="1"/>
        <v>과사</v>
      </c>
    </row>
    <row r="16" spans="1:19" s="143" customFormat="1" ht="23.1" customHeight="1">
      <c r="A16" s="180" t="s">
        <v>21</v>
      </c>
      <c r="B16" s="175">
        <f>COUNTIF(내리2구간!$C$3:$C$1121,P16)</f>
        <v>0</v>
      </c>
      <c r="C16" s="76" t="s">
        <v>5</v>
      </c>
      <c r="D16" s="176">
        <f>SUMIF(내리2구간!$C$3:$C$1121,P16,내리2구간!$E$3:$E$1121)</f>
        <v>0</v>
      </c>
      <c r="E16" s="175">
        <f>COUNTIF(내리2구간!$P$3:$P$1121,"장국")</f>
        <v>0</v>
      </c>
      <c r="F16" s="76" t="s">
        <v>5</v>
      </c>
      <c r="G16" s="176">
        <f>SUMIF(내리2구간!$P$3:$P$1121,Q16,내리2구간!$E$3:$E$1121)</f>
        <v>0</v>
      </c>
      <c r="H16" s="175">
        <f>COUNTIF(내리2구간!$P$3:$P$1121,R16)</f>
        <v>0</v>
      </c>
      <c r="I16" s="76" t="s">
        <v>5</v>
      </c>
      <c r="J16" s="176">
        <f>SUMIF(내리2구간!$P$3:$P$1121,R16,내리2구간!$E$3:$E$1121)</f>
        <v>0</v>
      </c>
      <c r="K16" s="175">
        <f>COUNTIF(내리2구간!$P$3:$P$1121,S16)</f>
        <v>0</v>
      </c>
      <c r="L16" s="76" t="s">
        <v>5</v>
      </c>
      <c r="M16" s="176">
        <f>SUMIF(내리2구간!$P$3:$P$1121,S16,내리2구간!$E$3:$E$1121)</f>
        <v>0</v>
      </c>
      <c r="N16" s="166"/>
      <c r="O16" s="74" t="str">
        <f t="shared" si="0"/>
        <v>ok</v>
      </c>
      <c r="P16" s="74" t="s">
        <v>65</v>
      </c>
      <c r="Q16" s="183" t="str">
        <f t="shared" si="2"/>
        <v>장국</v>
      </c>
      <c r="R16" s="183" t="str">
        <f t="shared" si="1"/>
        <v>장공</v>
      </c>
      <c r="S16" s="183" t="str">
        <f t="shared" si="1"/>
        <v>장사</v>
      </c>
    </row>
    <row r="17" spans="1:19" s="143" customFormat="1" ht="23.1" customHeight="1">
      <c r="A17" s="180" t="s">
        <v>18</v>
      </c>
      <c r="B17" s="175">
        <f>COUNTIF(내리2구간!$C$3:$C$1121,P17)</f>
        <v>0</v>
      </c>
      <c r="C17" s="76" t="s">
        <v>5</v>
      </c>
      <c r="D17" s="176">
        <f>SUMIF(내리2구간!$C$3:$C$1121,P17,내리2구간!$E$3:$E$1121)</f>
        <v>0</v>
      </c>
      <c r="E17" s="175">
        <f>COUNTIF(내리2구간!$P$3:$P$1121,"목국")</f>
        <v>0</v>
      </c>
      <c r="F17" s="76" t="s">
        <v>5</v>
      </c>
      <c r="G17" s="176">
        <f>SUMIF(내리2구간!$P$3:$P$1121,Q17,내리2구간!$E$3:$E$1121)</f>
        <v>0</v>
      </c>
      <c r="H17" s="175">
        <f>COUNTIF(내리2구간!$P$3:$P$1121,R17)</f>
        <v>0</v>
      </c>
      <c r="I17" s="76" t="s">
        <v>5</v>
      </c>
      <c r="J17" s="176">
        <f>SUMIF(내리2구간!$P$3:$P$1121,R17,내리2구간!$E$3:$E$1121)</f>
        <v>0</v>
      </c>
      <c r="K17" s="175">
        <f>COUNTIF(내리2구간!$P$3:$P$1121,S17)</f>
        <v>0</v>
      </c>
      <c r="L17" s="76" t="s">
        <v>5</v>
      </c>
      <c r="M17" s="176">
        <f>SUMIF(내리2구간!$P$3:$P$1121,S17,내리2구간!$E$3:$E$1121)</f>
        <v>0</v>
      </c>
      <c r="N17" s="166"/>
      <c r="O17" s="74" t="str">
        <f t="shared" si="0"/>
        <v>ok</v>
      </c>
      <c r="P17" s="74" t="s">
        <v>66</v>
      </c>
      <c r="Q17" s="183" t="str">
        <f t="shared" si="2"/>
        <v>목국</v>
      </c>
      <c r="R17" s="183" t="str">
        <f t="shared" si="1"/>
        <v>목공</v>
      </c>
      <c r="S17" s="183" t="str">
        <f t="shared" si="1"/>
        <v>목사</v>
      </c>
    </row>
    <row r="18" spans="1:19" s="143" customFormat="1" ht="23.1" customHeight="1">
      <c r="A18" s="180" t="s">
        <v>23</v>
      </c>
      <c r="B18" s="175">
        <f>COUNTIF(내리2구간!$C$3:$C$1121,P18)</f>
        <v>0</v>
      </c>
      <c r="C18" s="76" t="s">
        <v>5</v>
      </c>
      <c r="D18" s="176">
        <f>SUMIF(내리2구간!$C$3:$C$1121,P18,내리2구간!$E$3:$E$1121)</f>
        <v>0</v>
      </c>
      <c r="E18" s="175">
        <f>COUNTIF(내리2구간!$P$3:$P$1121,"학국")</f>
        <v>0</v>
      </c>
      <c r="F18" s="76" t="s">
        <v>5</v>
      </c>
      <c r="G18" s="176">
        <f>SUMIF(내리2구간!$P$3:$P$1121,Q18,내리2구간!$E$3:$E$1121)</f>
        <v>0</v>
      </c>
      <c r="H18" s="175">
        <f>COUNTIF(내리2구간!$P$3:$P$1121,R18)</f>
        <v>0</v>
      </c>
      <c r="I18" s="76" t="s">
        <v>5</v>
      </c>
      <c r="J18" s="176">
        <f>SUMIF(내리2구간!$P$3:$P$1121,R18,내리2구간!$E$3:$E$1121)</f>
        <v>0</v>
      </c>
      <c r="K18" s="175">
        <f>COUNTIF(내리2구간!$P$3:$P$1121,S18)</f>
        <v>0</v>
      </c>
      <c r="L18" s="76" t="s">
        <v>5</v>
      </c>
      <c r="M18" s="176">
        <f>SUMIF(내리2구간!$P$3:$P$1121,S18,내리2구간!$E$3:$E$1121)</f>
        <v>0</v>
      </c>
      <c r="N18" s="166"/>
      <c r="O18" s="74" t="str">
        <f t="shared" si="0"/>
        <v>ok</v>
      </c>
      <c r="P18" s="74" t="s">
        <v>87</v>
      </c>
      <c r="Q18" s="183" t="str">
        <f t="shared" si="2"/>
        <v>학국</v>
      </c>
      <c r="R18" s="183" t="str">
        <f t="shared" si="1"/>
        <v>학공</v>
      </c>
      <c r="S18" s="183" t="str">
        <f t="shared" si="1"/>
        <v>학사</v>
      </c>
    </row>
    <row r="19" spans="1:19" s="143" customFormat="1" ht="23.1" customHeight="1">
      <c r="A19" s="180" t="s">
        <v>41</v>
      </c>
      <c r="B19" s="175">
        <f>COUNTIF(내리2구간!$C$3:$C$1121,P19)</f>
        <v>0</v>
      </c>
      <c r="C19" s="76" t="s">
        <v>5</v>
      </c>
      <c r="D19" s="176">
        <f>SUMIF(내리2구간!$C$3:$C$1121,P19,내리2구간!$E$3:$E$1121)</f>
        <v>0</v>
      </c>
      <c r="E19" s="175">
        <f>COUNTIF(내리2구간!$P$3:$P$1121,"철국")</f>
        <v>0</v>
      </c>
      <c r="F19" s="76" t="s">
        <v>5</v>
      </c>
      <c r="G19" s="176">
        <f>SUMIF(내리2구간!$P$3:$P$1121,Q19,내리2구간!$E$3:$E$1121)</f>
        <v>0</v>
      </c>
      <c r="H19" s="175">
        <f>COUNTIF(내리2구간!$P$3:$P$1121,R19)</f>
        <v>0</v>
      </c>
      <c r="I19" s="76" t="s">
        <v>5</v>
      </c>
      <c r="J19" s="176">
        <f>SUMIF(내리2구간!$P$3:$P$1121,R19,내리2구간!$E$3:$E$1121)</f>
        <v>0</v>
      </c>
      <c r="K19" s="175">
        <f>COUNTIF(내리2구간!$P$3:$P$1121,S19)</f>
        <v>0</v>
      </c>
      <c r="L19" s="76" t="s">
        <v>5</v>
      </c>
      <c r="M19" s="176">
        <f>SUMIF(내리2구간!$P$3:$P$1121,S19,내리2구간!$E$3:$E$1121)</f>
        <v>0</v>
      </c>
      <c r="N19" s="166"/>
      <c r="O19" s="74" t="str">
        <f t="shared" si="0"/>
        <v>ok</v>
      </c>
      <c r="P19" s="74" t="s">
        <v>88</v>
      </c>
      <c r="Q19" s="183" t="str">
        <f t="shared" si="2"/>
        <v>철국</v>
      </c>
      <c r="R19" s="183" t="str">
        <f t="shared" si="1"/>
        <v>철공</v>
      </c>
      <c r="S19" s="183" t="str">
        <f t="shared" si="1"/>
        <v>철사</v>
      </c>
    </row>
    <row r="20" spans="1:19" s="143" customFormat="1" ht="23.1" customHeight="1">
      <c r="A20" s="180" t="s">
        <v>17</v>
      </c>
      <c r="B20" s="175">
        <f>COUNTIF(내리2구간!$C$3:$C$1121,P20)</f>
        <v>0</v>
      </c>
      <c r="C20" s="76" t="s">
        <v>5</v>
      </c>
      <c r="D20" s="176">
        <f>SUMIF(내리2구간!$C$3:$C$1121,P20,내리2구간!$E$3:$E$1121)</f>
        <v>0</v>
      </c>
      <c r="E20" s="175">
        <f>COUNTIF(내리2구간!$P$3:$P$1121,"묘국")</f>
        <v>0</v>
      </c>
      <c r="F20" s="76" t="s">
        <v>5</v>
      </c>
      <c r="G20" s="176">
        <f>SUMIF(내리2구간!$P$3:$P$1121,Q20,내리2구간!$E$3:$E$1121)</f>
        <v>0</v>
      </c>
      <c r="H20" s="175">
        <f>COUNTIF(내리2구간!$P$3:$P$1121,R20)</f>
        <v>0</v>
      </c>
      <c r="I20" s="76" t="s">
        <v>5</v>
      </c>
      <c r="J20" s="176">
        <f>SUMIF(내리2구간!$P$3:$P$1121,R20,내리2구간!$E$3:$E$1121)</f>
        <v>0</v>
      </c>
      <c r="K20" s="175">
        <f>COUNTIF(내리2구간!$P$3:$P$1121,S20)</f>
        <v>0</v>
      </c>
      <c r="L20" s="76" t="s">
        <v>5</v>
      </c>
      <c r="M20" s="176">
        <f>SUMIF(내리2구간!$P$3:$P$1121,S20,내리2구간!$E$3:$E$1121)</f>
        <v>0</v>
      </c>
      <c r="N20" s="166"/>
      <c r="O20" s="74" t="str">
        <f t="shared" si="0"/>
        <v>ok</v>
      </c>
      <c r="P20" s="74" t="s">
        <v>68</v>
      </c>
      <c r="Q20" s="183" t="str">
        <f t="shared" si="2"/>
        <v>묘국</v>
      </c>
      <c r="R20" s="183" t="str">
        <f t="shared" si="1"/>
        <v>묘공</v>
      </c>
      <c r="S20" s="183" t="str">
        <f t="shared" si="1"/>
        <v>묘사</v>
      </c>
    </row>
    <row r="21" spans="1:19" s="143" customFormat="1" ht="23.1" customHeight="1">
      <c r="A21" s="180" t="s">
        <v>20</v>
      </c>
      <c r="B21" s="175">
        <f>COUNTIF(내리2구간!$C$3:$C$1121,P21)</f>
        <v>0</v>
      </c>
      <c r="C21" s="76" t="s">
        <v>5</v>
      </c>
      <c r="D21" s="176">
        <f>SUMIF(내리2구간!$C$3:$C$1121,P21,내리2구간!$E$3:$E$1121)</f>
        <v>0</v>
      </c>
      <c r="E21" s="175">
        <f>COUNTIF(내리2구간!$P$3:$P$1121,"수국")</f>
        <v>0</v>
      </c>
      <c r="F21" s="76" t="s">
        <v>5</v>
      </c>
      <c r="G21" s="176">
        <f>SUMIF(내리2구간!$P$3:$P$1121,Q21,내리2구간!$E$3:$E$1121)</f>
        <v>0</v>
      </c>
      <c r="H21" s="175">
        <f>COUNTIF(내리2구간!$P$3:$P$1121,R21)</f>
        <v>0</v>
      </c>
      <c r="I21" s="76" t="s">
        <v>5</v>
      </c>
      <c r="J21" s="176">
        <f>SUMIF(내리2구간!$P$3:$P$1121,R21,내리2구간!$E$3:$E$1121)</f>
        <v>0</v>
      </c>
      <c r="K21" s="175">
        <f>COUNTIF(내리2구간!$P$3:$P$1121,S21)</f>
        <v>0</v>
      </c>
      <c r="L21" s="76" t="s">
        <v>5</v>
      </c>
      <c r="M21" s="176">
        <f>SUMIF(내리2구간!$P$3:$P$1121,S21,내리2구간!$E$3:$E$1121)</f>
        <v>0</v>
      </c>
      <c r="N21" s="166"/>
      <c r="O21" s="74" t="str">
        <f t="shared" si="0"/>
        <v>ok</v>
      </c>
      <c r="P21" s="74" t="s">
        <v>89</v>
      </c>
      <c r="Q21" s="183" t="str">
        <f t="shared" si="2"/>
        <v>수국</v>
      </c>
      <c r="R21" s="183" t="str">
        <f t="shared" si="1"/>
        <v>수공</v>
      </c>
      <c r="S21" s="183" t="str">
        <f t="shared" si="1"/>
        <v>수사</v>
      </c>
    </row>
    <row r="22" spans="1:19" s="143" customFormat="1" ht="23.1" customHeight="1">
      <c r="A22" s="180" t="s">
        <v>19</v>
      </c>
      <c r="B22" s="175">
        <f>COUNTIF(내리2구간!$C$3:$C$1121,P22)</f>
        <v>0</v>
      </c>
      <c r="C22" s="76" t="s">
        <v>5</v>
      </c>
      <c r="D22" s="176">
        <f>SUMIF(내리2구간!$C$3:$C$1121,P22,내리2구간!$E$3:$E$1121)</f>
        <v>0</v>
      </c>
      <c r="E22" s="175">
        <f>COUNTIF(내리2구간!$P$3:$P$1121,"잡국")</f>
        <v>0</v>
      </c>
      <c r="F22" s="76" t="s">
        <v>5</v>
      </c>
      <c r="G22" s="176">
        <f>SUMIF(내리2구간!$P$3:$P$1121,Q22,내리2구간!$E$3:$E$1121)</f>
        <v>0</v>
      </c>
      <c r="H22" s="175">
        <f>COUNTIF(내리2구간!$P$3:$P$1121,R22)</f>
        <v>0</v>
      </c>
      <c r="I22" s="76" t="s">
        <v>5</v>
      </c>
      <c r="J22" s="176">
        <f>SUMIF(내리2구간!$P$3:$P$1121,R22,내리2구간!$E$3:$E$1121)</f>
        <v>0</v>
      </c>
      <c r="K22" s="175">
        <f>COUNTIF(내리2구간!$P$3:$P$1121,S22)</f>
        <v>0</v>
      </c>
      <c r="L22" s="76" t="s">
        <v>5</v>
      </c>
      <c r="M22" s="176">
        <f>SUMIF(내리2구간!$P$3:$P$1121,S22,내리2구간!$E$3:$E$1121)</f>
        <v>0</v>
      </c>
      <c r="N22" s="166"/>
      <c r="O22" s="74" t="str">
        <f t="shared" si="0"/>
        <v>ok</v>
      </c>
      <c r="P22" s="74" t="s">
        <v>90</v>
      </c>
      <c r="Q22" s="183" t="str">
        <f t="shared" si="2"/>
        <v>잡국</v>
      </c>
      <c r="R22" s="183" t="str">
        <f t="shared" si="2"/>
        <v>잡공</v>
      </c>
      <c r="S22" s="183" t="str">
        <f t="shared" si="2"/>
        <v>잡사</v>
      </c>
    </row>
    <row r="23" spans="1:19" s="143" customFormat="1" ht="23.1" customHeight="1">
      <c r="A23" s="180" t="s">
        <v>42</v>
      </c>
      <c r="B23" s="175">
        <f>COUNTIF(내리2구간!$C$3:$C$1121,P23)</f>
        <v>0</v>
      </c>
      <c r="C23" s="76" t="s">
        <v>5</v>
      </c>
      <c r="D23" s="176">
        <f>SUMIF(내리2구간!$C$3:$C$1121,P23,내리2구간!$E$3:$E$1121)</f>
        <v>0</v>
      </c>
      <c r="E23" s="175">
        <f>COUNTIF(내리2구간!$P$3:$P$1121,"종국")</f>
        <v>0</v>
      </c>
      <c r="F23" s="76" t="s">
        <v>5</v>
      </c>
      <c r="G23" s="176">
        <f>SUMIF(내리2구간!$P$3:$P$1121,Q23,내리2구간!$E$3:$E$1121)</f>
        <v>0</v>
      </c>
      <c r="H23" s="175">
        <f>COUNTIF(내리2구간!$P$3:$P$1121,R23)</f>
        <v>0</v>
      </c>
      <c r="I23" s="76" t="s">
        <v>5</v>
      </c>
      <c r="J23" s="176">
        <f>SUMIF(내리2구간!$P$3:$P$1121,R23,내리2구간!$E$3:$E$1121)</f>
        <v>0</v>
      </c>
      <c r="K23" s="175">
        <f>COUNTIF(내리2구간!$P$3:$P$1121,S23)</f>
        <v>0</v>
      </c>
      <c r="L23" s="76" t="s">
        <v>5</v>
      </c>
      <c r="M23" s="176">
        <f>SUMIF(내리2구간!$P$3:$P$1121,S23,내리2구간!$E$3:$E$1121)</f>
        <v>0</v>
      </c>
      <c r="N23" s="166"/>
      <c r="O23" s="74" t="str">
        <f t="shared" si="0"/>
        <v>ok</v>
      </c>
      <c r="P23" s="74" t="s">
        <v>91</v>
      </c>
      <c r="Q23" s="183" t="str">
        <f t="shared" si="2"/>
        <v>종국</v>
      </c>
      <c r="R23" s="183" t="str">
        <f t="shared" si="2"/>
        <v>종공</v>
      </c>
      <c r="S23" s="183" t="str">
        <f t="shared" si="2"/>
        <v>종사</v>
      </c>
    </row>
    <row r="24" spans="1:19" s="143" customFormat="1" ht="23.1" customHeight="1">
      <c r="A24" s="180" t="s">
        <v>43</v>
      </c>
      <c r="B24" s="175">
        <f>COUNTIF(내리2구간!$C$3:$C$1121,P24)</f>
        <v>0</v>
      </c>
      <c r="C24" s="76" t="s">
        <v>5</v>
      </c>
      <c r="D24" s="176">
        <f>SUMIF(내리2구간!$C$3:$C$1121,P24,내리2구간!$E$3:$E$1121)</f>
        <v>0</v>
      </c>
      <c r="E24" s="175">
        <f>COUNTIF(내리2구간!$P$3:$P$1121,"염국")</f>
        <v>0</v>
      </c>
      <c r="F24" s="76" t="s">
        <v>5</v>
      </c>
      <c r="G24" s="176">
        <f>SUMIF(내리2구간!$P$3:$P$1121,Q24,내리2구간!$E$3:$E$1121)</f>
        <v>0</v>
      </c>
      <c r="H24" s="175">
        <f>COUNTIF(내리2구간!$P$3:$P$1121,R24)</f>
        <v>0</v>
      </c>
      <c r="I24" s="76" t="s">
        <v>5</v>
      </c>
      <c r="J24" s="176">
        <f>SUMIF(내리2구간!$P$3:$P$1121,R24,내리2구간!$E$3:$E$1121)</f>
        <v>0</v>
      </c>
      <c r="K24" s="175">
        <f>COUNTIF(내리2구간!$P$3:$P$1121,S24)</f>
        <v>0</v>
      </c>
      <c r="L24" s="76" t="s">
        <v>5</v>
      </c>
      <c r="M24" s="176">
        <f>SUMIF(내리2구간!$P$3:$P$1121,S24,내리2구간!$E$3:$E$1121)</f>
        <v>0</v>
      </c>
      <c r="N24" s="166"/>
      <c r="O24" s="74" t="str">
        <f t="shared" si="0"/>
        <v>ok</v>
      </c>
      <c r="P24" s="74" t="s">
        <v>92</v>
      </c>
      <c r="Q24" s="183" t="str">
        <f t="shared" si="2"/>
        <v>염국</v>
      </c>
      <c r="R24" s="183" t="str">
        <f t="shared" si="2"/>
        <v>염공</v>
      </c>
      <c r="S24" s="183" t="str">
        <f t="shared" si="2"/>
        <v>염사</v>
      </c>
    </row>
    <row r="25" spans="1:19" s="143" customFormat="1" ht="23.1" customHeight="1">
      <c r="A25" s="180" t="s">
        <v>44</v>
      </c>
      <c r="B25" s="175">
        <f>COUNTIF(내리2구간!$C$3:$C$1121,P25)</f>
        <v>0</v>
      </c>
      <c r="C25" s="76" t="s">
        <v>5</v>
      </c>
      <c r="D25" s="176">
        <f>SUMIF(내리2구간!$C$3:$C$1121,P25,내리2구간!$E$3:$E$1121)</f>
        <v>0</v>
      </c>
      <c r="E25" s="175">
        <f>COUNTIF(내리2구간!$P$3:$P$1121,"공국")</f>
        <v>0</v>
      </c>
      <c r="F25" s="76" t="s">
        <v>5</v>
      </c>
      <c r="G25" s="176">
        <f>SUMIF(내리2구간!$P$3:$P$1121,Q25,내리2구간!$E$3:$E$1121)</f>
        <v>0</v>
      </c>
      <c r="H25" s="175">
        <f>COUNTIF(내리2구간!$P$3:$P$1121,R25)</f>
        <v>0</v>
      </c>
      <c r="I25" s="76" t="s">
        <v>5</v>
      </c>
      <c r="J25" s="176">
        <f>SUMIF(내리2구간!$P$3:$P$1121,R25,내리2구간!$E$3:$E$1121)</f>
        <v>0</v>
      </c>
      <c r="K25" s="175">
        <f>COUNTIF(내리2구간!$P$3:$P$1121,S25)</f>
        <v>0</v>
      </c>
      <c r="L25" s="76" t="s">
        <v>5</v>
      </c>
      <c r="M25" s="176">
        <f>SUMIF(내리2구간!$P$3:$P$1121,S25,내리2구간!$E$3:$E$1121)</f>
        <v>0</v>
      </c>
      <c r="N25" s="166"/>
      <c r="O25" s="74" t="str">
        <f t="shared" si="0"/>
        <v>ok</v>
      </c>
      <c r="P25" s="74" t="s">
        <v>71</v>
      </c>
      <c r="Q25" s="183" t="str">
        <f t="shared" si="2"/>
        <v>공국</v>
      </c>
      <c r="R25" s="183" t="str">
        <f t="shared" si="2"/>
        <v>공공</v>
      </c>
      <c r="S25" s="183" t="str">
        <f t="shared" si="2"/>
        <v>공사</v>
      </c>
    </row>
    <row r="26" spans="1:19" s="143" customFormat="1" ht="23.1" customHeight="1">
      <c r="A26" s="180" t="s">
        <v>45</v>
      </c>
      <c r="B26" s="175">
        <f>COUNTIF(내리2구간!$C$3:$C$1121,P26)</f>
        <v>0</v>
      </c>
      <c r="C26" s="76" t="s">
        <v>5</v>
      </c>
      <c r="D26" s="176">
        <f>SUMIF(내리2구간!$C$3:$C$1121,P26,내리2구간!$E$3:$E$1121)</f>
        <v>0</v>
      </c>
      <c r="E26" s="175">
        <f>COUNTIF(내리2구간!$P$3:$P$1121,"체국")</f>
        <v>0</v>
      </c>
      <c r="F26" s="76" t="s">
        <v>5</v>
      </c>
      <c r="G26" s="176">
        <f>SUMIF(내리2구간!$P$3:$P$1121,Q26,내리2구간!$E$3:$E$1121)</f>
        <v>0</v>
      </c>
      <c r="H26" s="175">
        <f>COUNTIF(내리2구간!$P$3:$P$1121,R26)</f>
        <v>0</v>
      </c>
      <c r="I26" s="76" t="s">
        <v>5</v>
      </c>
      <c r="J26" s="176">
        <f>SUMIF(내리2구간!$P$3:$P$1121,R26,내리2구간!$E$3:$E$1121)</f>
        <v>0</v>
      </c>
      <c r="K26" s="175">
        <f>COUNTIF(내리2구간!$P$3:$P$1121,S26)</f>
        <v>0</v>
      </c>
      <c r="L26" s="76" t="s">
        <v>5</v>
      </c>
      <c r="M26" s="176">
        <f>SUMIF(내리2구간!$P$3:$P$1121,S26,내리2구간!$E$3:$E$1121)</f>
        <v>0</v>
      </c>
      <c r="N26" s="166"/>
      <c r="O26" s="74" t="str">
        <f t="shared" si="0"/>
        <v>ok</v>
      </c>
      <c r="P26" s="74" t="s">
        <v>93</v>
      </c>
      <c r="Q26" s="183" t="str">
        <f t="shared" si="2"/>
        <v>체국</v>
      </c>
      <c r="R26" s="183" t="str">
        <f t="shared" si="2"/>
        <v>체공</v>
      </c>
      <c r="S26" s="183" t="str">
        <f t="shared" si="2"/>
        <v>체사</v>
      </c>
    </row>
    <row r="27" spans="1:19" s="143" customFormat="1" ht="23.1" customHeight="1">
      <c r="A27" s="180" t="s">
        <v>60</v>
      </c>
      <c r="B27" s="175">
        <f>COUNTIF(내리2구간!$C$3:$C$1121,P27)</f>
        <v>0</v>
      </c>
      <c r="C27" s="76" t="s">
        <v>5</v>
      </c>
      <c r="D27" s="176">
        <f>SUMIF(내리2구간!$C$3:$C$1121,P27,내리2구간!$E$3:$E$1121)</f>
        <v>0</v>
      </c>
      <c r="E27" s="175">
        <f>COUNTIF(내리2구간!$P$3:$P$1121,"차국")</f>
        <v>0</v>
      </c>
      <c r="F27" s="76" t="s">
        <v>5</v>
      </c>
      <c r="G27" s="176">
        <f>SUMIF(내리2구간!$P$3:$P$1121,Q27,내리2구간!$E$3:$E$1121)</f>
        <v>0</v>
      </c>
      <c r="H27" s="175">
        <f>COUNTIF(내리2구간!$P$3:$P$1121,R27)</f>
        <v>0</v>
      </c>
      <c r="I27" s="76" t="s">
        <v>5</v>
      </c>
      <c r="J27" s="176">
        <f>SUMIF(내리2구간!$P$3:$P$1121,R27,내리2구간!$E$3:$E$1121)</f>
        <v>0</v>
      </c>
      <c r="K27" s="175">
        <f>COUNTIF(내리2구간!$P$3:$P$1121,S27)</f>
        <v>0</v>
      </c>
      <c r="L27" s="76" t="s">
        <v>5</v>
      </c>
      <c r="M27" s="176">
        <f>SUMIF(내리2구간!$P$3:$P$1121,S27,내리2구간!$E$3:$E$1121)</f>
        <v>0</v>
      </c>
      <c r="N27" s="166"/>
      <c r="O27" s="74" t="str">
        <f t="shared" si="0"/>
        <v>ok</v>
      </c>
      <c r="P27" s="74" t="s">
        <v>96</v>
      </c>
      <c r="Q27" s="183" t="str">
        <f t="shared" si="2"/>
        <v>차국</v>
      </c>
      <c r="R27" s="183" t="str">
        <f t="shared" si="2"/>
        <v>차공</v>
      </c>
      <c r="S27" s="183" t="str">
        <f t="shared" si="2"/>
        <v>차사</v>
      </c>
    </row>
    <row r="28" spans="1:19" s="143" customFormat="1" ht="23.1" customHeight="1">
      <c r="A28" s="180" t="s">
        <v>56</v>
      </c>
      <c r="B28" s="175">
        <f>COUNTIF(내리2구간!$C$3:$C$1121,P28)</f>
        <v>0</v>
      </c>
      <c r="C28" s="76" t="s">
        <v>5</v>
      </c>
      <c r="D28" s="176">
        <f>SUMIF(내리2구간!$C$3:$C$1121,P28,내리2구간!$E$3:$E$1121)</f>
        <v>0</v>
      </c>
      <c r="E28" s="175">
        <f>COUNTIF(내리2구간!$P$3:$P$1121,"주국")</f>
        <v>0</v>
      </c>
      <c r="F28" s="76" t="s">
        <v>5</v>
      </c>
      <c r="G28" s="176">
        <f>SUMIF(내리2구간!$P$3:$P$1121,Q28,내리2구간!$E$3:$E$1121)</f>
        <v>0</v>
      </c>
      <c r="H28" s="175">
        <f>COUNTIF(내리2구간!$P$3:$P$1121,R28)</f>
        <v>0</v>
      </c>
      <c r="I28" s="76" t="s">
        <v>5</v>
      </c>
      <c r="J28" s="176">
        <f>SUMIF(내리2구간!$P$3:$P$1121,R28,내리2구간!$E$3:$E$1121)</f>
        <v>0</v>
      </c>
      <c r="K28" s="175">
        <f>COUNTIF(내리2구간!$P$3:$P$1121,S28)</f>
        <v>0</v>
      </c>
      <c r="L28" s="76" t="s">
        <v>5</v>
      </c>
      <c r="M28" s="176">
        <f>SUMIF(내리2구간!$P$3:$P$1121,S28,내리2구간!$E$3:$E$1121)</f>
        <v>0</v>
      </c>
      <c r="N28" s="166"/>
      <c r="O28" s="74" t="str">
        <f t="shared" si="0"/>
        <v>ok</v>
      </c>
      <c r="P28" s="74" t="s">
        <v>94</v>
      </c>
      <c r="Q28" s="183" t="str">
        <f t="shared" si="2"/>
        <v>주국</v>
      </c>
      <c r="R28" s="183" t="str">
        <f t="shared" si="2"/>
        <v>주공</v>
      </c>
      <c r="S28" s="183" t="str">
        <f t="shared" si="2"/>
        <v>주사</v>
      </c>
    </row>
    <row r="29" spans="1:19" s="143" customFormat="1" ht="23.1" customHeight="1">
      <c r="A29" s="180" t="s">
        <v>57</v>
      </c>
      <c r="B29" s="175">
        <f>COUNTIF(내리2구간!$C$3:$C$1121,P29)</f>
        <v>0</v>
      </c>
      <c r="C29" s="76" t="s">
        <v>5</v>
      </c>
      <c r="D29" s="176">
        <f>SUMIF(내리2구간!$C$3:$C$1121,P29,내리2구간!$E$3:$E$1121)</f>
        <v>0</v>
      </c>
      <c r="E29" s="175">
        <f>COUNTIF(내리2구간!$P$3:$P$1121,"창국")</f>
        <v>0</v>
      </c>
      <c r="F29" s="76" t="s">
        <v>5</v>
      </c>
      <c r="G29" s="176">
        <f>SUMIF(내리2구간!$P$3:$P$1121,Q29,내리2구간!$E$3:$E$1121)</f>
        <v>0</v>
      </c>
      <c r="H29" s="175">
        <f>COUNTIF(내리2구간!$P$3:$P$1121,R29)</f>
        <v>0</v>
      </c>
      <c r="I29" s="76" t="s">
        <v>5</v>
      </c>
      <c r="J29" s="176">
        <f>SUMIF(내리2구간!$P$3:$P$1121,R29,내리2구간!$E$3:$E$1121)</f>
        <v>0</v>
      </c>
      <c r="K29" s="175">
        <f>COUNTIF(내리2구간!$P$3:$P$1121,S29)</f>
        <v>0</v>
      </c>
      <c r="L29" s="76" t="s">
        <v>5</v>
      </c>
      <c r="M29" s="176">
        <f>SUMIF(내리2구간!$P$3:$P$1121,S29,내리2구간!$E$3:$E$1121)</f>
        <v>0</v>
      </c>
      <c r="N29" s="166"/>
      <c r="O29" s="74" t="str">
        <f t="shared" si="0"/>
        <v>ok</v>
      </c>
      <c r="P29" s="74" t="s">
        <v>95</v>
      </c>
      <c r="Q29" s="183" t="str">
        <f t="shared" si="2"/>
        <v>창국</v>
      </c>
      <c r="R29" s="183" t="str">
        <f t="shared" si="2"/>
        <v>창공</v>
      </c>
      <c r="S29" s="183" t="str">
        <f t="shared" si="2"/>
        <v>창사</v>
      </c>
    </row>
    <row r="30" spans="1:19" s="143" customFormat="1" ht="23.1" customHeight="1">
      <c r="A30" s="182" t="s">
        <v>24</v>
      </c>
      <c r="B30" s="177">
        <f>COUNTIF(내리2구간!$C$3:$C$1121,P30)</f>
        <v>0</v>
      </c>
      <c r="C30" s="81" t="s">
        <v>5</v>
      </c>
      <c r="D30" s="178">
        <f>SUMIF(내리2구간!$C$3:$C$1121,P30,내리2구간!$E$3:$E$1121)</f>
        <v>0</v>
      </c>
      <c r="E30" s="177">
        <f>COUNTIF(내리2구간!$P$3:$P$1121,"가국")</f>
        <v>0</v>
      </c>
      <c r="F30" s="81" t="s">
        <v>5</v>
      </c>
      <c r="G30" s="178">
        <f>SUMIF(내리2구간!$P$3:$P$1121,Q30,내리2구간!$E$3:$E$1121)</f>
        <v>0</v>
      </c>
      <c r="H30" s="177">
        <f>COUNTIF(내리2구간!$P$3:$P$1121,R30)</f>
        <v>0</v>
      </c>
      <c r="I30" s="81" t="s">
        <v>5</v>
      </c>
      <c r="J30" s="178">
        <f>SUMIF(내리2구간!$P$3:$P$1121,R30,내리2구간!$E$3:$E$1121)</f>
        <v>0</v>
      </c>
      <c r="K30" s="177">
        <f>COUNTIF(내리2구간!$P$3:$P$1121,S30)</f>
        <v>0</v>
      </c>
      <c r="L30" s="81" t="s">
        <v>5</v>
      </c>
      <c r="M30" s="178">
        <f>SUMIF(내리2구간!$P$3:$P$1121,S30,내리2구간!$E$3:$E$1121)</f>
        <v>0</v>
      </c>
      <c r="N30" s="167"/>
      <c r="O30" s="74" t="str">
        <f t="shared" si="0"/>
        <v>ok</v>
      </c>
      <c r="P30" s="74" t="s">
        <v>97</v>
      </c>
      <c r="Q30" s="183" t="str">
        <f t="shared" si="2"/>
        <v>가국</v>
      </c>
      <c r="R30" s="183" t="str">
        <f t="shared" si="2"/>
        <v>가공</v>
      </c>
      <c r="S30" s="183" t="str">
        <f t="shared" si="2"/>
        <v>가사</v>
      </c>
    </row>
  </sheetData>
  <mergeCells count="2">
    <mergeCell ref="A3:A4"/>
    <mergeCell ref="N3:N4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651"/>
  <sheetViews>
    <sheetView showGridLines="0" showZeros="0" view="pageBreakPreview" zoomScaleSheetLayoutView="100" workbookViewId="0">
      <pane ySplit="2" topLeftCell="A3" activePane="bottomLeft" state="frozen"/>
      <selection sqref="A1:A2"/>
      <selection pane="bottomLeft" sqref="A1:A2"/>
    </sheetView>
  </sheetViews>
  <sheetFormatPr defaultRowHeight="11.25"/>
  <cols>
    <col min="1" max="1" width="3.77734375" style="113" customWidth="1"/>
    <col min="2" max="2" width="6.44140625" style="121" customWidth="1"/>
    <col min="3" max="3" width="3.77734375" style="113" customWidth="1"/>
    <col min="4" max="4" width="7.77734375" style="113" customWidth="1"/>
    <col min="5" max="5" width="7.77734375" style="122" customWidth="1"/>
    <col min="6" max="6" width="3.77734375" style="113" hidden="1" customWidth="1"/>
    <col min="7" max="7" width="5.6640625" style="113" hidden="1" customWidth="1"/>
    <col min="8" max="8" width="6.77734375" style="113" customWidth="1"/>
    <col min="9" max="9" width="15.77734375" style="113" customWidth="1"/>
    <col min="10" max="10" width="6.77734375" style="152" customWidth="1"/>
    <col min="11" max="11" width="12.77734375" style="113" customWidth="1"/>
    <col min="12" max="12" width="6.77734375" style="113" customWidth="1"/>
    <col min="13" max="13" width="4.77734375" style="113" customWidth="1"/>
    <col min="14" max="15" width="8.77734375" style="113" customWidth="1"/>
    <col min="16" max="16" width="10.77734375" style="123" customWidth="1"/>
    <col min="17" max="21" width="9.77734375" style="113" customWidth="1"/>
    <col min="22" max="22" width="10.77734375" style="113" customWidth="1"/>
    <col min="23" max="16384" width="8.88671875" style="113"/>
  </cols>
  <sheetData>
    <row r="1" spans="1:22" ht="24.95" customHeight="1">
      <c r="A1" s="494" t="s">
        <v>99</v>
      </c>
      <c r="B1" s="496" t="s">
        <v>72</v>
      </c>
      <c r="C1" s="498" t="s">
        <v>28</v>
      </c>
      <c r="D1" s="498" t="s">
        <v>100</v>
      </c>
      <c r="E1" s="498" t="s">
        <v>101</v>
      </c>
      <c r="F1" s="214" t="s">
        <v>31</v>
      </c>
      <c r="G1" s="214"/>
      <c r="H1" s="214" t="s">
        <v>73</v>
      </c>
      <c r="I1" s="214"/>
      <c r="J1" s="214" t="s">
        <v>76</v>
      </c>
      <c r="K1" s="214"/>
      <c r="L1" s="214"/>
      <c r="M1" s="492" t="s">
        <v>22</v>
      </c>
      <c r="N1" s="185"/>
      <c r="O1" s="185"/>
      <c r="P1" s="116"/>
      <c r="Q1" s="117"/>
      <c r="R1" s="117"/>
      <c r="S1" s="117"/>
      <c r="T1" s="117"/>
      <c r="U1" s="117"/>
      <c r="V1" s="117"/>
    </row>
    <row r="2" spans="1:22" ht="24.95" customHeight="1">
      <c r="A2" s="495"/>
      <c r="B2" s="497"/>
      <c r="C2" s="499"/>
      <c r="D2" s="499"/>
      <c r="E2" s="499"/>
      <c r="F2" s="220" t="s">
        <v>28</v>
      </c>
      <c r="G2" s="220" t="s">
        <v>35</v>
      </c>
      <c r="H2" s="221" t="s">
        <v>74</v>
      </c>
      <c r="I2" s="221" t="s">
        <v>75</v>
      </c>
      <c r="J2" s="221" t="s">
        <v>74</v>
      </c>
      <c r="K2" s="221" t="s">
        <v>75</v>
      </c>
      <c r="L2" s="221" t="s">
        <v>38</v>
      </c>
      <c r="M2" s="493"/>
      <c r="N2" s="186"/>
      <c r="O2" s="186"/>
      <c r="P2" s="118"/>
      <c r="Q2" s="119"/>
      <c r="R2" s="119"/>
      <c r="S2" s="119"/>
      <c r="T2" s="119"/>
      <c r="U2" s="119"/>
      <c r="V2" s="115"/>
    </row>
    <row r="3" spans="1:22" s="158" customFormat="1" ht="24" customHeight="1">
      <c r="A3" s="193">
        <v>1</v>
      </c>
      <c r="B3" s="226">
        <v>1015</v>
      </c>
      <c r="C3" s="227" t="s">
        <v>62</v>
      </c>
      <c r="D3" s="228"/>
      <c r="E3" s="229"/>
      <c r="F3" s="194"/>
      <c r="G3" s="194"/>
      <c r="H3" s="230" t="s">
        <v>111</v>
      </c>
      <c r="I3" s="233"/>
      <c r="J3" s="195"/>
      <c r="K3" s="196"/>
      <c r="L3" s="196"/>
      <c r="M3" s="197"/>
      <c r="N3" s="187">
        <v>3</v>
      </c>
      <c r="O3" s="187" t="str">
        <f>IF(N3=1,"국",IF(N3=2,"공","사"))</f>
        <v>사</v>
      </c>
      <c r="P3" s="156" t="str">
        <f>CONCATENATE(C3,O3)</f>
        <v>전사</v>
      </c>
      <c r="Q3" s="157"/>
      <c r="R3" s="157"/>
      <c r="S3" s="157"/>
      <c r="T3" s="157"/>
      <c r="U3" s="157"/>
      <c r="V3" s="157"/>
    </row>
    <row r="4" spans="1:22" s="158" customFormat="1" ht="24" customHeight="1">
      <c r="A4" s="193">
        <v>2</v>
      </c>
      <c r="B4" s="226">
        <v>1813</v>
      </c>
      <c r="C4" s="227" t="s">
        <v>63</v>
      </c>
      <c r="D4" s="228"/>
      <c r="E4" s="229"/>
      <c r="F4" s="194"/>
      <c r="G4" s="194"/>
      <c r="H4" s="230" t="s">
        <v>70</v>
      </c>
      <c r="I4" s="233"/>
      <c r="J4" s="195"/>
      <c r="K4" s="196"/>
      <c r="L4" s="196"/>
      <c r="M4" s="197"/>
      <c r="N4" s="187">
        <v>1</v>
      </c>
      <c r="O4" s="187" t="str">
        <f>IF(N4=1,"국",IF(N4=2,"공","사"))</f>
        <v>국</v>
      </c>
      <c r="P4" s="156" t="str">
        <f>CONCATENATE(C4,O4)</f>
        <v>도국</v>
      </c>
      <c r="Q4" s="157"/>
      <c r="R4" s="157"/>
      <c r="S4" s="157"/>
      <c r="T4" s="157"/>
      <c r="U4" s="157"/>
      <c r="V4" s="157"/>
    </row>
    <row r="5" spans="1:22" s="158" customFormat="1" ht="24" customHeight="1">
      <c r="A5" s="193">
        <v>3</v>
      </c>
      <c r="B5" s="231" t="s">
        <v>110</v>
      </c>
      <c r="C5" s="227" t="s">
        <v>62</v>
      </c>
      <c r="D5" s="228"/>
      <c r="E5" s="228"/>
      <c r="F5" s="194"/>
      <c r="G5" s="194"/>
      <c r="H5" s="232" t="s">
        <v>111</v>
      </c>
      <c r="I5" s="233"/>
      <c r="J5" s="195"/>
      <c r="K5" s="196"/>
      <c r="L5" s="196"/>
      <c r="M5" s="197"/>
      <c r="N5" s="187">
        <v>3</v>
      </c>
      <c r="O5" s="187" t="str">
        <f>IF(N5=1,"국",IF(N5=2,"공","사"))</f>
        <v>사</v>
      </c>
      <c r="P5" s="156" t="str">
        <f>CONCATENATE(C5,O5)</f>
        <v>전사</v>
      </c>
      <c r="Q5" s="157"/>
      <c r="R5" s="157"/>
      <c r="S5" s="157"/>
      <c r="T5" s="157"/>
      <c r="U5" s="157"/>
      <c r="V5" s="157"/>
    </row>
    <row r="6" spans="1:22" s="158" customFormat="1" ht="24" customHeight="1">
      <c r="A6" s="193"/>
      <c r="B6" s="231"/>
      <c r="C6" s="227"/>
      <c r="D6" s="228"/>
      <c r="E6" s="228"/>
      <c r="F6" s="194"/>
      <c r="G6" s="194"/>
      <c r="H6" s="232"/>
      <c r="I6" s="233"/>
      <c r="J6" s="195"/>
      <c r="K6" s="196"/>
      <c r="L6" s="196"/>
      <c r="M6" s="198"/>
      <c r="N6" s="188"/>
      <c r="O6" s="187"/>
      <c r="P6" s="156"/>
      <c r="Q6" s="157"/>
      <c r="R6" s="157"/>
      <c r="S6" s="157"/>
      <c r="T6" s="157"/>
      <c r="U6" s="157"/>
      <c r="V6" s="157"/>
    </row>
    <row r="7" spans="1:22" s="158" customFormat="1" ht="24" customHeight="1">
      <c r="A7" s="193"/>
      <c r="B7" s="226"/>
      <c r="C7" s="227"/>
      <c r="D7" s="228"/>
      <c r="E7" s="228"/>
      <c r="F7" s="194"/>
      <c r="G7" s="194"/>
      <c r="H7" s="230"/>
      <c r="I7" s="233"/>
      <c r="J7" s="195"/>
      <c r="K7" s="196"/>
      <c r="L7" s="196"/>
      <c r="M7" s="199"/>
      <c r="N7" s="189"/>
      <c r="O7" s="187"/>
      <c r="P7" s="156"/>
      <c r="Q7" s="157"/>
      <c r="R7" s="157"/>
      <c r="S7" s="157"/>
      <c r="T7" s="157"/>
      <c r="U7" s="157"/>
      <c r="V7" s="157"/>
    </row>
    <row r="8" spans="1:22" s="158" customFormat="1" ht="24" customHeight="1">
      <c r="A8" s="193"/>
      <c r="B8" s="226"/>
      <c r="C8" s="231"/>
      <c r="D8" s="228"/>
      <c r="E8" s="228"/>
      <c r="F8" s="194"/>
      <c r="G8" s="194"/>
      <c r="H8" s="234"/>
      <c r="I8" s="242"/>
      <c r="J8" s="195"/>
      <c r="K8" s="196"/>
      <c r="L8" s="196"/>
      <c r="M8" s="197"/>
      <c r="N8" s="187"/>
      <c r="O8" s="187"/>
      <c r="P8" s="156"/>
      <c r="Q8" s="157"/>
      <c r="R8" s="157"/>
      <c r="S8" s="157"/>
      <c r="T8" s="157"/>
      <c r="U8" s="157"/>
      <c r="V8" s="157"/>
    </row>
    <row r="9" spans="1:22" s="158" customFormat="1" ht="24" customHeight="1">
      <c r="A9" s="193"/>
      <c r="B9" s="226"/>
      <c r="C9" s="230"/>
      <c r="D9" s="228"/>
      <c r="E9" s="229"/>
      <c r="F9" s="194"/>
      <c r="G9" s="194"/>
      <c r="H9" s="230"/>
      <c r="I9" s="233"/>
      <c r="J9" s="195"/>
      <c r="K9" s="196"/>
      <c r="L9" s="196"/>
      <c r="M9" s="197"/>
      <c r="N9" s="187"/>
      <c r="O9" s="187"/>
      <c r="P9" s="156"/>
      <c r="Q9" s="157"/>
      <c r="R9" s="157"/>
      <c r="S9" s="157"/>
      <c r="T9" s="157"/>
      <c r="U9" s="157"/>
      <c r="V9" s="157"/>
    </row>
    <row r="10" spans="1:22" s="158" customFormat="1" ht="24" customHeight="1">
      <c r="A10" s="193"/>
      <c r="B10" s="226"/>
      <c r="C10" s="231"/>
      <c r="D10" s="228"/>
      <c r="E10" s="228"/>
      <c r="F10" s="194"/>
      <c r="G10" s="194"/>
      <c r="H10" s="234"/>
      <c r="I10" s="242"/>
      <c r="J10" s="195"/>
      <c r="K10" s="196"/>
      <c r="L10" s="196"/>
      <c r="M10" s="197"/>
      <c r="N10" s="187"/>
      <c r="O10" s="187"/>
      <c r="P10" s="156"/>
      <c r="Q10" s="157"/>
      <c r="R10" s="157"/>
      <c r="S10" s="157"/>
      <c r="T10" s="157"/>
      <c r="U10" s="157"/>
      <c r="V10" s="157"/>
    </row>
    <row r="11" spans="1:22" s="158" customFormat="1" ht="24" customHeight="1">
      <c r="A11" s="193"/>
      <c r="B11" s="226"/>
      <c r="C11" s="231"/>
      <c r="D11" s="228"/>
      <c r="E11" s="228"/>
      <c r="F11" s="194"/>
      <c r="G11" s="194"/>
      <c r="H11" s="230"/>
      <c r="I11" s="233"/>
      <c r="J11" s="195"/>
      <c r="K11" s="196"/>
      <c r="L11" s="196"/>
      <c r="M11" s="197"/>
      <c r="N11" s="187"/>
      <c r="O11" s="187"/>
      <c r="P11" s="156"/>
      <c r="Q11" s="157"/>
      <c r="R11" s="157"/>
      <c r="S11" s="157"/>
      <c r="T11" s="157"/>
      <c r="U11" s="157"/>
      <c r="V11" s="157"/>
    </row>
    <row r="12" spans="1:22" s="158" customFormat="1" ht="24" customHeight="1">
      <c r="A12" s="193"/>
      <c r="B12" s="226"/>
      <c r="C12" s="231"/>
      <c r="D12" s="228"/>
      <c r="E12" s="228"/>
      <c r="F12" s="194"/>
      <c r="G12" s="194"/>
      <c r="H12" s="234"/>
      <c r="I12" s="242"/>
      <c r="J12" s="195"/>
      <c r="K12" s="196"/>
      <c r="L12" s="196"/>
      <c r="M12" s="198"/>
      <c r="N12" s="188"/>
      <c r="O12" s="187"/>
      <c r="P12" s="156"/>
      <c r="Q12" s="157"/>
      <c r="R12" s="157"/>
      <c r="S12" s="157"/>
      <c r="T12" s="157"/>
      <c r="U12" s="157"/>
      <c r="V12" s="157"/>
    </row>
    <row r="13" spans="1:22" s="158" customFormat="1" ht="24" customHeight="1">
      <c r="A13" s="193"/>
      <c r="B13" s="226"/>
      <c r="C13" s="231"/>
      <c r="D13" s="235"/>
      <c r="E13" s="228"/>
      <c r="F13" s="194"/>
      <c r="G13" s="194"/>
      <c r="H13" s="230"/>
      <c r="I13" s="233"/>
      <c r="J13" s="195"/>
      <c r="K13" s="196"/>
      <c r="L13" s="196"/>
      <c r="M13" s="198"/>
      <c r="N13" s="188"/>
      <c r="O13" s="187"/>
      <c r="P13" s="156"/>
      <c r="Q13" s="157"/>
      <c r="R13" s="157"/>
      <c r="S13" s="157"/>
      <c r="T13" s="157"/>
      <c r="U13" s="157"/>
      <c r="V13" s="157"/>
    </row>
    <row r="14" spans="1:22" s="158" customFormat="1" ht="24" customHeight="1">
      <c r="A14" s="193"/>
      <c r="B14" s="226"/>
      <c r="C14" s="231"/>
      <c r="D14" s="228"/>
      <c r="E14" s="228"/>
      <c r="F14" s="194"/>
      <c r="G14" s="194"/>
      <c r="H14" s="234"/>
      <c r="I14" s="242"/>
      <c r="J14" s="195"/>
      <c r="K14" s="196"/>
      <c r="L14" s="196"/>
      <c r="M14" s="197"/>
      <c r="N14" s="187"/>
      <c r="O14" s="187"/>
      <c r="P14" s="156"/>
      <c r="Q14" s="157"/>
      <c r="R14" s="157"/>
      <c r="S14" s="157"/>
      <c r="T14" s="157"/>
      <c r="U14" s="157"/>
      <c r="V14" s="157"/>
    </row>
    <row r="15" spans="1:22" s="158" customFormat="1" ht="24" customHeight="1">
      <c r="A15" s="193"/>
      <c r="B15" s="226"/>
      <c r="C15" s="231"/>
      <c r="D15" s="228"/>
      <c r="E15" s="228"/>
      <c r="F15" s="194"/>
      <c r="G15" s="194"/>
      <c r="H15" s="234"/>
      <c r="I15" s="242"/>
      <c r="J15" s="195"/>
      <c r="K15" s="196"/>
      <c r="L15" s="196"/>
      <c r="M15" s="197"/>
      <c r="N15" s="187"/>
      <c r="O15" s="187"/>
      <c r="P15" s="156"/>
      <c r="Q15" s="157"/>
      <c r="R15" s="157"/>
      <c r="S15" s="157"/>
      <c r="T15" s="157"/>
      <c r="U15" s="157"/>
      <c r="V15" s="157"/>
    </row>
    <row r="16" spans="1:22" s="158" customFormat="1" ht="24" customHeight="1">
      <c r="A16" s="193"/>
      <c r="B16" s="226"/>
      <c r="C16" s="231"/>
      <c r="D16" s="228"/>
      <c r="E16" s="228"/>
      <c r="F16" s="194"/>
      <c r="G16" s="194"/>
      <c r="H16" s="234"/>
      <c r="I16" s="242"/>
      <c r="J16" s="195"/>
      <c r="K16" s="196"/>
      <c r="L16" s="196"/>
      <c r="M16" s="197"/>
      <c r="N16" s="187"/>
      <c r="O16" s="187"/>
      <c r="P16" s="156"/>
      <c r="Q16" s="157"/>
      <c r="R16" s="157"/>
      <c r="S16" s="157"/>
      <c r="T16" s="157"/>
      <c r="U16" s="157"/>
      <c r="V16" s="157"/>
    </row>
    <row r="17" spans="1:25" s="158" customFormat="1" ht="24" customHeight="1">
      <c r="A17" s="193"/>
      <c r="B17" s="236"/>
      <c r="C17" s="227"/>
      <c r="D17" s="228"/>
      <c r="E17" s="228"/>
      <c r="F17" s="194"/>
      <c r="G17" s="194"/>
      <c r="H17" s="230"/>
      <c r="I17" s="233"/>
      <c r="J17" s="195"/>
      <c r="K17" s="196"/>
      <c r="L17" s="196"/>
      <c r="M17" s="197"/>
      <c r="N17" s="187"/>
      <c r="O17" s="187"/>
      <c r="P17" s="156"/>
      <c r="Q17" s="157"/>
      <c r="R17" s="157"/>
      <c r="S17" s="157"/>
      <c r="T17" s="157"/>
      <c r="U17" s="157"/>
      <c r="V17" s="159"/>
    </row>
    <row r="18" spans="1:25" s="158" customFormat="1" ht="24" customHeight="1">
      <c r="A18" s="193"/>
      <c r="B18" s="236"/>
      <c r="C18" s="227"/>
      <c r="D18" s="228"/>
      <c r="E18" s="228"/>
      <c r="F18" s="194"/>
      <c r="G18" s="194"/>
      <c r="H18" s="230"/>
      <c r="I18" s="233"/>
      <c r="J18" s="195"/>
      <c r="K18" s="196"/>
      <c r="L18" s="196"/>
      <c r="M18" s="197"/>
      <c r="N18" s="187"/>
      <c r="O18" s="187"/>
      <c r="P18" s="156"/>
      <c r="Q18" s="157"/>
      <c r="R18" s="157"/>
      <c r="S18" s="157"/>
      <c r="T18" s="157"/>
      <c r="U18" s="157"/>
      <c r="V18" s="159"/>
    </row>
    <row r="19" spans="1:25" s="158" customFormat="1" ht="24" customHeight="1">
      <c r="A19" s="193"/>
      <c r="B19" s="236"/>
      <c r="C19" s="227"/>
      <c r="D19" s="228"/>
      <c r="E19" s="228"/>
      <c r="F19" s="194"/>
      <c r="G19" s="194"/>
      <c r="H19" s="230"/>
      <c r="I19" s="233"/>
      <c r="J19" s="195"/>
      <c r="K19" s="196"/>
      <c r="L19" s="196"/>
      <c r="M19" s="197"/>
      <c r="N19" s="187"/>
      <c r="O19" s="187"/>
      <c r="P19" s="156"/>
      <c r="Q19" s="157"/>
      <c r="R19" s="157"/>
      <c r="S19" s="157"/>
      <c r="T19" s="157"/>
      <c r="U19" s="157"/>
      <c r="V19" s="159"/>
    </row>
    <row r="20" spans="1:25" s="158" customFormat="1" ht="24" customHeight="1">
      <c r="A20" s="193"/>
      <c r="B20" s="236"/>
      <c r="C20" s="227"/>
      <c r="D20" s="228"/>
      <c r="E20" s="228"/>
      <c r="F20" s="194"/>
      <c r="G20" s="194"/>
      <c r="H20" s="230"/>
      <c r="I20" s="233"/>
      <c r="J20" s="195"/>
      <c r="K20" s="196"/>
      <c r="L20" s="196"/>
      <c r="M20" s="197"/>
      <c r="N20" s="187"/>
      <c r="O20" s="187"/>
      <c r="P20" s="156"/>
      <c r="Q20" s="157"/>
      <c r="R20" s="157"/>
      <c r="S20" s="157"/>
      <c r="T20" s="157"/>
      <c r="U20" s="157"/>
      <c r="V20" s="159"/>
    </row>
    <row r="21" spans="1:25" s="158" customFormat="1" ht="24" customHeight="1">
      <c r="A21" s="193"/>
      <c r="B21" s="236"/>
      <c r="C21" s="227"/>
      <c r="D21" s="228"/>
      <c r="E21" s="228"/>
      <c r="F21" s="194"/>
      <c r="G21" s="194"/>
      <c r="H21" s="230"/>
      <c r="I21" s="233"/>
      <c r="J21" s="195"/>
      <c r="K21" s="196"/>
      <c r="L21" s="196"/>
      <c r="M21" s="197"/>
      <c r="N21" s="187"/>
      <c r="O21" s="187"/>
      <c r="P21" s="156"/>
      <c r="Q21" s="157"/>
      <c r="R21" s="157"/>
      <c r="S21" s="157"/>
      <c r="T21" s="157"/>
      <c r="U21" s="157"/>
      <c r="V21" s="159"/>
    </row>
    <row r="22" spans="1:25" s="158" customFormat="1" ht="24" customHeight="1">
      <c r="A22" s="193"/>
      <c r="B22" s="236"/>
      <c r="C22" s="227"/>
      <c r="D22" s="228"/>
      <c r="E22" s="228"/>
      <c r="F22" s="194"/>
      <c r="G22" s="194"/>
      <c r="H22" s="230"/>
      <c r="I22" s="233"/>
      <c r="J22" s="195"/>
      <c r="K22" s="196"/>
      <c r="L22" s="196"/>
      <c r="M22" s="197"/>
      <c r="N22" s="187"/>
      <c r="O22" s="187"/>
      <c r="P22" s="156"/>
      <c r="Q22" s="157"/>
      <c r="R22" s="157"/>
      <c r="S22" s="157"/>
      <c r="T22" s="157"/>
      <c r="U22" s="157"/>
      <c r="V22" s="159"/>
    </row>
    <row r="23" spans="1:25" s="158" customFormat="1" ht="24" customHeight="1">
      <c r="A23" s="193"/>
      <c r="B23" s="226"/>
      <c r="C23" s="231"/>
      <c r="D23" s="228"/>
      <c r="E23" s="228"/>
      <c r="F23" s="194"/>
      <c r="G23" s="194"/>
      <c r="H23" s="230"/>
      <c r="I23" s="233"/>
      <c r="J23" s="195"/>
      <c r="K23" s="196"/>
      <c r="L23" s="196"/>
      <c r="M23" s="197"/>
      <c r="N23" s="187"/>
      <c r="O23" s="187"/>
      <c r="P23" s="156"/>
      <c r="Q23" s="157"/>
      <c r="R23" s="157"/>
      <c r="S23" s="157"/>
      <c r="T23" s="157"/>
      <c r="U23" s="157"/>
      <c r="V23" s="159"/>
    </row>
    <row r="24" spans="1:25" s="158" customFormat="1" ht="24" customHeight="1">
      <c r="A24" s="193"/>
      <c r="B24" s="227"/>
      <c r="C24" s="227"/>
      <c r="D24" s="229"/>
      <c r="E24" s="228"/>
      <c r="F24" s="194"/>
      <c r="G24" s="194"/>
      <c r="H24" s="234"/>
      <c r="I24" s="242"/>
      <c r="J24" s="195"/>
      <c r="K24" s="196"/>
      <c r="L24" s="196"/>
      <c r="M24" s="199"/>
      <c r="N24" s="189"/>
      <c r="O24" s="187"/>
      <c r="P24" s="156"/>
      <c r="Q24" s="157"/>
      <c r="R24" s="157"/>
      <c r="S24" s="157"/>
      <c r="T24" s="157"/>
      <c r="U24" s="157"/>
      <c r="V24" s="159"/>
    </row>
    <row r="25" spans="1:25" s="158" customFormat="1" ht="24" customHeight="1">
      <c r="A25" s="193"/>
      <c r="B25" s="227"/>
      <c r="C25" s="227"/>
      <c r="D25" s="228"/>
      <c r="E25" s="228"/>
      <c r="F25" s="194"/>
      <c r="G25" s="194"/>
      <c r="H25" s="234"/>
      <c r="I25" s="242"/>
      <c r="J25" s="195"/>
      <c r="K25" s="196"/>
      <c r="L25" s="196"/>
      <c r="M25" s="197"/>
      <c r="N25" s="187"/>
      <c r="O25" s="187"/>
      <c r="P25" s="156"/>
      <c r="Q25" s="157"/>
      <c r="R25" s="157"/>
      <c r="S25" s="157"/>
      <c r="T25" s="157"/>
      <c r="U25" s="157"/>
      <c r="V25" s="159"/>
    </row>
    <row r="26" spans="1:25" s="158" customFormat="1" ht="24" customHeight="1">
      <c r="A26" s="193"/>
      <c r="B26" s="227"/>
      <c r="C26" s="227"/>
      <c r="D26" s="228"/>
      <c r="E26" s="228"/>
      <c r="F26" s="194"/>
      <c r="G26" s="194"/>
      <c r="H26" s="230"/>
      <c r="I26" s="233"/>
      <c r="J26" s="195"/>
      <c r="K26" s="196"/>
      <c r="L26" s="196"/>
      <c r="M26" s="197"/>
      <c r="N26" s="187"/>
      <c r="O26" s="187"/>
      <c r="P26" s="156"/>
      <c r="Q26" s="157"/>
      <c r="R26" s="157"/>
      <c r="S26" s="157"/>
      <c r="T26" s="157"/>
      <c r="U26" s="157"/>
      <c r="V26" s="160"/>
      <c r="W26" s="157"/>
      <c r="X26" s="157"/>
      <c r="Y26" s="157"/>
    </row>
    <row r="27" spans="1:25" s="158" customFormat="1" ht="24" customHeight="1">
      <c r="A27" s="297"/>
      <c r="B27" s="298"/>
      <c r="C27" s="298"/>
      <c r="D27" s="299"/>
      <c r="E27" s="299"/>
      <c r="F27" s="300"/>
      <c r="G27" s="300"/>
      <c r="H27" s="301"/>
      <c r="I27" s="302"/>
      <c r="J27" s="303"/>
      <c r="K27" s="304"/>
      <c r="L27" s="304"/>
      <c r="M27" s="305"/>
      <c r="N27" s="187"/>
      <c r="O27" s="187"/>
      <c r="P27" s="156"/>
      <c r="Q27" s="157"/>
      <c r="R27" s="157"/>
      <c r="S27" s="157"/>
      <c r="T27" s="157"/>
      <c r="U27" s="157"/>
      <c r="V27" s="157"/>
    </row>
    <row r="28" spans="1:25" s="158" customFormat="1" ht="24" customHeight="1">
      <c r="A28" s="306" t="s">
        <v>102</v>
      </c>
      <c r="B28" s="307"/>
      <c r="C28" s="307"/>
      <c r="D28" s="308"/>
      <c r="E28" s="308">
        <f>SUBTOTAL(9,E8:E27)</f>
        <v>0</v>
      </c>
      <c r="F28" s="309"/>
      <c r="G28" s="309"/>
      <c r="H28" s="309"/>
      <c r="I28" s="309"/>
      <c r="J28" s="309"/>
      <c r="K28" s="309"/>
      <c r="L28" s="309"/>
      <c r="M28" s="310"/>
      <c r="N28" s="190"/>
      <c r="O28" s="190"/>
      <c r="P28" s="156"/>
      <c r="Q28" s="157"/>
      <c r="R28" s="157"/>
      <c r="S28" s="157"/>
      <c r="T28" s="157"/>
      <c r="U28" s="157"/>
      <c r="V28" s="157"/>
    </row>
    <row r="29" spans="1:25" s="158" customFormat="1" ht="24" customHeight="1">
      <c r="A29" s="215"/>
      <c r="B29" s="223"/>
      <c r="C29" s="223"/>
      <c r="D29" s="224"/>
      <c r="E29" s="224"/>
      <c r="F29" s="216"/>
      <c r="G29" s="216"/>
      <c r="H29" s="295"/>
      <c r="I29" s="296"/>
      <c r="J29" s="217"/>
      <c r="K29" s="218"/>
      <c r="L29" s="218"/>
      <c r="M29" s="219"/>
      <c r="N29" s="187"/>
      <c r="O29" s="187"/>
      <c r="P29" s="156"/>
      <c r="Q29" s="157"/>
      <c r="R29" s="157"/>
      <c r="S29" s="157"/>
      <c r="T29" s="157"/>
      <c r="U29" s="157"/>
      <c r="V29" s="157"/>
    </row>
    <row r="30" spans="1:25" s="158" customFormat="1" ht="24" customHeight="1">
      <c r="A30" s="193"/>
      <c r="B30" s="227"/>
      <c r="C30" s="227"/>
      <c r="D30" s="228"/>
      <c r="E30" s="228"/>
      <c r="F30" s="194"/>
      <c r="G30" s="194"/>
      <c r="H30" s="230"/>
      <c r="I30" s="233"/>
      <c r="J30" s="195"/>
      <c r="K30" s="196"/>
      <c r="L30" s="196"/>
      <c r="M30" s="197"/>
      <c r="N30" s="187"/>
      <c r="O30" s="187"/>
      <c r="P30" s="156"/>
      <c r="Q30" s="157"/>
      <c r="R30" s="157"/>
      <c r="S30" s="157"/>
      <c r="T30" s="157"/>
      <c r="U30" s="157"/>
      <c r="V30" s="157"/>
    </row>
    <row r="31" spans="1:25" s="158" customFormat="1" ht="24" customHeight="1">
      <c r="A31" s="193"/>
      <c r="B31" s="227"/>
      <c r="C31" s="227"/>
      <c r="D31" s="228"/>
      <c r="E31" s="228"/>
      <c r="F31" s="194"/>
      <c r="G31" s="194"/>
      <c r="H31" s="234"/>
      <c r="I31" s="242"/>
      <c r="J31" s="195"/>
      <c r="K31" s="196"/>
      <c r="L31" s="196"/>
      <c r="M31" s="197"/>
      <c r="N31" s="187"/>
      <c r="O31" s="187"/>
      <c r="P31" s="156"/>
      <c r="Q31" s="157"/>
      <c r="R31" s="157"/>
      <c r="S31" s="157"/>
      <c r="T31" s="157"/>
      <c r="U31" s="157"/>
      <c r="V31" s="157"/>
    </row>
    <row r="32" spans="1:25" s="158" customFormat="1" ht="24" customHeight="1">
      <c r="A32" s="193"/>
      <c r="B32" s="226"/>
      <c r="C32" s="231"/>
      <c r="D32" s="229"/>
      <c r="E32" s="228"/>
      <c r="F32" s="194"/>
      <c r="G32" s="194"/>
      <c r="H32" s="234"/>
      <c r="I32" s="242"/>
      <c r="J32" s="195"/>
      <c r="K32" s="196"/>
      <c r="L32" s="196"/>
      <c r="M32" s="198"/>
      <c r="N32" s="188"/>
      <c r="O32" s="187"/>
      <c r="P32" s="156"/>
      <c r="Q32" s="157"/>
      <c r="R32" s="157"/>
      <c r="S32" s="157"/>
      <c r="T32" s="157"/>
      <c r="U32" s="157"/>
      <c r="V32" s="157"/>
    </row>
    <row r="33" spans="1:22" s="158" customFormat="1" ht="24" customHeight="1">
      <c r="A33" s="193"/>
      <c r="B33" s="227"/>
      <c r="C33" s="227"/>
      <c r="D33" s="228"/>
      <c r="E33" s="228"/>
      <c r="F33" s="194"/>
      <c r="G33" s="194"/>
      <c r="H33" s="234"/>
      <c r="I33" s="242"/>
      <c r="J33" s="195"/>
      <c r="K33" s="196"/>
      <c r="L33" s="196"/>
      <c r="M33" s="197"/>
      <c r="N33" s="187"/>
      <c r="O33" s="187"/>
      <c r="P33" s="156"/>
      <c r="Q33" s="157"/>
      <c r="R33" s="157"/>
      <c r="S33" s="157"/>
      <c r="T33" s="157"/>
      <c r="U33" s="157"/>
      <c r="V33" s="157"/>
    </row>
    <row r="34" spans="1:22" s="158" customFormat="1" ht="24" customHeight="1">
      <c r="A34" s="193"/>
      <c r="B34" s="227"/>
      <c r="C34" s="227"/>
      <c r="D34" s="228"/>
      <c r="E34" s="228"/>
      <c r="F34" s="194"/>
      <c r="G34" s="194"/>
      <c r="H34" s="234"/>
      <c r="I34" s="242"/>
      <c r="J34" s="195"/>
      <c r="K34" s="196"/>
      <c r="L34" s="196"/>
      <c r="M34" s="197"/>
      <c r="N34" s="187"/>
      <c r="O34" s="187"/>
      <c r="P34" s="156"/>
      <c r="Q34" s="157"/>
      <c r="R34" s="157"/>
      <c r="S34" s="157"/>
      <c r="T34" s="157"/>
      <c r="U34" s="157"/>
      <c r="V34" s="157"/>
    </row>
    <row r="35" spans="1:22" s="158" customFormat="1" ht="24" customHeight="1">
      <c r="A35" s="193"/>
      <c r="B35" s="226"/>
      <c r="C35" s="231"/>
      <c r="D35" s="228"/>
      <c r="E35" s="228"/>
      <c r="F35" s="194"/>
      <c r="G35" s="194"/>
      <c r="H35" s="234"/>
      <c r="I35" s="242"/>
      <c r="J35" s="195"/>
      <c r="K35" s="196"/>
      <c r="L35" s="196"/>
      <c r="M35" s="197"/>
      <c r="N35" s="187"/>
      <c r="O35" s="187"/>
      <c r="P35" s="156"/>
      <c r="Q35" s="157"/>
      <c r="R35" s="157"/>
      <c r="S35" s="157"/>
      <c r="T35" s="157"/>
      <c r="U35" s="157"/>
      <c r="V35" s="157"/>
    </row>
    <row r="36" spans="1:22" s="158" customFormat="1" ht="24" customHeight="1">
      <c r="A36" s="193"/>
      <c r="B36" s="226"/>
      <c r="C36" s="231"/>
      <c r="D36" s="235"/>
      <c r="E36" s="229"/>
      <c r="F36" s="194"/>
      <c r="G36" s="194"/>
      <c r="H36" s="234"/>
      <c r="I36" s="242"/>
      <c r="J36" s="195"/>
      <c r="K36" s="196"/>
      <c r="L36" s="196"/>
      <c r="M36" s="197"/>
      <c r="N36" s="187"/>
      <c r="O36" s="187"/>
      <c r="P36" s="156"/>
      <c r="Q36" s="157"/>
      <c r="R36" s="157"/>
      <c r="S36" s="157"/>
      <c r="T36" s="157"/>
      <c r="U36" s="157"/>
      <c r="V36" s="157"/>
    </row>
    <row r="37" spans="1:22" s="158" customFormat="1" ht="24" customHeight="1">
      <c r="A37" s="193"/>
      <c r="B37" s="227"/>
      <c r="C37" s="227"/>
      <c r="D37" s="228"/>
      <c r="E37" s="228"/>
      <c r="F37" s="194"/>
      <c r="G37" s="194"/>
      <c r="H37" s="234"/>
      <c r="I37" s="242"/>
      <c r="J37" s="195"/>
      <c r="K37" s="196"/>
      <c r="L37" s="196"/>
      <c r="M37" s="197"/>
      <c r="N37" s="187"/>
      <c r="O37" s="187"/>
      <c r="P37" s="156"/>
      <c r="Q37" s="157"/>
      <c r="R37" s="157"/>
      <c r="S37" s="157"/>
      <c r="T37" s="157"/>
      <c r="U37" s="157"/>
      <c r="V37" s="157"/>
    </row>
    <row r="38" spans="1:22" s="158" customFormat="1" ht="24" customHeight="1">
      <c r="A38" s="193"/>
      <c r="B38" s="226"/>
      <c r="C38" s="231"/>
      <c r="D38" s="228"/>
      <c r="E38" s="228"/>
      <c r="F38" s="194"/>
      <c r="G38" s="194"/>
      <c r="H38" s="234"/>
      <c r="I38" s="242"/>
      <c r="J38" s="195"/>
      <c r="K38" s="196"/>
      <c r="L38" s="196"/>
      <c r="M38" s="198"/>
      <c r="N38" s="188"/>
      <c r="O38" s="187"/>
      <c r="P38" s="156"/>
      <c r="Q38" s="157"/>
      <c r="R38" s="157"/>
      <c r="S38" s="157"/>
      <c r="T38" s="157"/>
      <c r="U38" s="157"/>
      <c r="V38" s="157"/>
    </row>
    <row r="39" spans="1:22" s="158" customFormat="1" ht="24" customHeight="1">
      <c r="A39" s="193"/>
      <c r="B39" s="226"/>
      <c r="C39" s="231"/>
      <c r="D39" s="228"/>
      <c r="E39" s="228"/>
      <c r="F39" s="194"/>
      <c r="G39" s="194"/>
      <c r="H39" s="234"/>
      <c r="I39" s="242"/>
      <c r="J39" s="195"/>
      <c r="K39" s="196"/>
      <c r="L39" s="196"/>
      <c r="M39" s="198"/>
      <c r="N39" s="188"/>
      <c r="O39" s="187"/>
      <c r="P39" s="156"/>
      <c r="Q39" s="157"/>
      <c r="R39" s="157"/>
      <c r="S39" s="157"/>
      <c r="T39" s="157"/>
      <c r="U39" s="157"/>
      <c r="V39" s="157"/>
    </row>
    <row r="40" spans="1:22" s="158" customFormat="1" ht="24" customHeight="1">
      <c r="A40" s="193"/>
      <c r="B40" s="226"/>
      <c r="C40" s="231"/>
      <c r="D40" s="228"/>
      <c r="E40" s="228"/>
      <c r="F40" s="194"/>
      <c r="G40" s="194"/>
      <c r="H40" s="232"/>
      <c r="I40" s="242"/>
      <c r="J40" s="195"/>
      <c r="K40" s="196"/>
      <c r="L40" s="196"/>
      <c r="M40" s="197"/>
      <c r="N40" s="187"/>
      <c r="O40" s="187"/>
      <c r="P40" s="156"/>
      <c r="Q40" s="157"/>
      <c r="R40" s="157"/>
      <c r="S40" s="157"/>
      <c r="T40" s="157"/>
      <c r="U40" s="157"/>
      <c r="V40" s="157"/>
    </row>
    <row r="41" spans="1:22" s="158" customFormat="1" ht="24" customHeight="1">
      <c r="A41" s="193"/>
      <c r="B41" s="226"/>
      <c r="C41" s="231"/>
      <c r="D41" s="228"/>
      <c r="E41" s="228"/>
      <c r="F41" s="194"/>
      <c r="G41" s="194"/>
      <c r="H41" s="234"/>
      <c r="I41" s="242"/>
      <c r="J41" s="195"/>
      <c r="K41" s="196"/>
      <c r="L41" s="196"/>
      <c r="M41" s="197"/>
      <c r="N41" s="187"/>
      <c r="O41" s="187"/>
      <c r="P41" s="156"/>
      <c r="Q41" s="157"/>
      <c r="R41" s="157"/>
      <c r="S41" s="157"/>
      <c r="T41" s="157"/>
      <c r="U41" s="157"/>
      <c r="V41" s="157"/>
    </row>
    <row r="42" spans="1:22" s="158" customFormat="1" ht="24" customHeight="1">
      <c r="A42" s="193"/>
      <c r="B42" s="226"/>
      <c r="C42" s="231"/>
      <c r="D42" s="228"/>
      <c r="E42" s="228"/>
      <c r="F42" s="194"/>
      <c r="G42" s="194"/>
      <c r="H42" s="234"/>
      <c r="I42" s="242"/>
      <c r="J42" s="195"/>
      <c r="K42" s="196"/>
      <c r="L42" s="196"/>
      <c r="M42" s="197"/>
      <c r="N42" s="187"/>
      <c r="O42" s="187"/>
      <c r="P42" s="156"/>
      <c r="Q42" s="157"/>
      <c r="R42" s="157"/>
      <c r="S42" s="157"/>
      <c r="T42" s="157"/>
      <c r="U42" s="157"/>
      <c r="V42" s="157"/>
    </row>
    <row r="43" spans="1:22" s="158" customFormat="1" ht="24" customHeight="1">
      <c r="A43" s="193"/>
      <c r="B43" s="226"/>
      <c r="C43" s="231"/>
      <c r="D43" s="228"/>
      <c r="E43" s="228"/>
      <c r="F43" s="194"/>
      <c r="G43" s="194"/>
      <c r="H43" s="232"/>
      <c r="I43" s="242"/>
      <c r="J43" s="195"/>
      <c r="K43" s="196"/>
      <c r="L43" s="196"/>
      <c r="M43" s="197"/>
      <c r="N43" s="187"/>
      <c r="O43" s="187"/>
      <c r="P43" s="156"/>
      <c r="Q43" s="157"/>
      <c r="R43" s="157"/>
      <c r="S43" s="157"/>
      <c r="T43" s="157"/>
      <c r="U43" s="157"/>
      <c r="V43" s="159"/>
    </row>
    <row r="44" spans="1:22" s="158" customFormat="1" ht="24" customHeight="1">
      <c r="A44" s="193"/>
      <c r="B44" s="226"/>
      <c r="C44" s="231"/>
      <c r="D44" s="228"/>
      <c r="E44" s="228"/>
      <c r="F44" s="194"/>
      <c r="G44" s="194"/>
      <c r="H44" s="232"/>
      <c r="I44" s="242"/>
      <c r="J44" s="195"/>
      <c r="K44" s="196"/>
      <c r="L44" s="196"/>
      <c r="M44" s="197"/>
      <c r="N44" s="187"/>
      <c r="O44" s="187"/>
      <c r="P44" s="156"/>
      <c r="Q44" s="157"/>
      <c r="R44" s="157"/>
      <c r="S44" s="157"/>
      <c r="T44" s="157"/>
      <c r="U44" s="157"/>
      <c r="V44" s="159"/>
    </row>
    <row r="45" spans="1:22" s="158" customFormat="1" ht="24" customHeight="1">
      <c r="A45" s="193"/>
      <c r="B45" s="226"/>
      <c r="C45" s="231"/>
      <c r="D45" s="228"/>
      <c r="E45" s="228"/>
      <c r="F45" s="194"/>
      <c r="G45" s="194"/>
      <c r="H45" s="232"/>
      <c r="I45" s="242"/>
      <c r="J45" s="195"/>
      <c r="K45" s="196"/>
      <c r="L45" s="196"/>
      <c r="M45" s="197"/>
      <c r="N45" s="187"/>
      <c r="O45" s="187"/>
      <c r="P45" s="156"/>
      <c r="Q45" s="157"/>
      <c r="R45" s="157"/>
      <c r="S45" s="157"/>
      <c r="T45" s="157"/>
      <c r="U45" s="157"/>
      <c r="V45" s="159"/>
    </row>
    <row r="46" spans="1:22" s="158" customFormat="1" ht="24" customHeight="1">
      <c r="A46" s="193"/>
      <c r="B46" s="226"/>
      <c r="C46" s="231"/>
      <c r="D46" s="228"/>
      <c r="E46" s="228"/>
      <c r="F46" s="194"/>
      <c r="G46" s="194"/>
      <c r="H46" s="232"/>
      <c r="I46" s="242"/>
      <c r="J46" s="195"/>
      <c r="K46" s="196"/>
      <c r="L46" s="196"/>
      <c r="M46" s="197"/>
      <c r="N46" s="187"/>
      <c r="O46" s="187"/>
      <c r="P46" s="156"/>
      <c r="Q46" s="157"/>
      <c r="R46" s="157"/>
      <c r="S46" s="157"/>
      <c r="T46" s="157"/>
      <c r="U46" s="157"/>
      <c r="V46" s="159"/>
    </row>
    <row r="47" spans="1:22" s="158" customFormat="1" ht="24" customHeight="1">
      <c r="A47" s="193"/>
      <c r="B47" s="226"/>
      <c r="C47" s="231"/>
      <c r="D47" s="228"/>
      <c r="E47" s="228"/>
      <c r="F47" s="194"/>
      <c r="G47" s="194"/>
      <c r="H47" s="232"/>
      <c r="I47" s="242"/>
      <c r="J47" s="195"/>
      <c r="K47" s="196"/>
      <c r="L47" s="196"/>
      <c r="M47" s="197"/>
      <c r="N47" s="187"/>
      <c r="O47" s="187"/>
      <c r="P47" s="156"/>
      <c r="Q47" s="157"/>
      <c r="R47" s="157"/>
      <c r="S47" s="157"/>
      <c r="T47" s="157"/>
      <c r="U47" s="157"/>
      <c r="V47" s="159"/>
    </row>
    <row r="48" spans="1:22" s="158" customFormat="1" ht="24" customHeight="1">
      <c r="A48" s="193"/>
      <c r="B48" s="226"/>
      <c r="C48" s="231"/>
      <c r="D48" s="228"/>
      <c r="E48" s="228"/>
      <c r="F48" s="194"/>
      <c r="G48" s="194"/>
      <c r="H48" s="232"/>
      <c r="I48" s="242"/>
      <c r="J48" s="195"/>
      <c r="K48" s="196"/>
      <c r="L48" s="196"/>
      <c r="M48" s="197"/>
      <c r="N48" s="187"/>
      <c r="O48" s="187"/>
      <c r="P48" s="156"/>
      <c r="Q48" s="157"/>
      <c r="R48" s="157"/>
      <c r="S48" s="157"/>
      <c r="T48" s="157"/>
      <c r="U48" s="157"/>
      <c r="V48" s="159"/>
    </row>
    <row r="49" spans="1:25" s="158" customFormat="1" ht="24" customHeight="1">
      <c r="A49" s="193"/>
      <c r="B49" s="226"/>
      <c r="C49" s="231"/>
      <c r="D49" s="228"/>
      <c r="E49" s="228"/>
      <c r="F49" s="194"/>
      <c r="G49" s="194"/>
      <c r="H49" s="237"/>
      <c r="I49" s="242"/>
      <c r="J49" s="195"/>
      <c r="K49" s="196"/>
      <c r="L49" s="196"/>
      <c r="M49" s="197"/>
      <c r="N49" s="187"/>
      <c r="O49" s="187"/>
      <c r="P49" s="156"/>
      <c r="Q49" s="157"/>
      <c r="R49" s="157"/>
      <c r="S49" s="157"/>
      <c r="T49" s="157"/>
      <c r="U49" s="157"/>
      <c r="V49" s="159"/>
    </row>
    <row r="50" spans="1:25" s="158" customFormat="1" ht="24" customHeight="1">
      <c r="A50" s="193"/>
      <c r="B50" s="226"/>
      <c r="C50" s="231"/>
      <c r="D50" s="228"/>
      <c r="E50" s="228"/>
      <c r="F50" s="194"/>
      <c r="G50" s="194"/>
      <c r="H50" s="234"/>
      <c r="I50" s="242"/>
      <c r="J50" s="195"/>
      <c r="K50" s="196"/>
      <c r="L50" s="196"/>
      <c r="M50" s="197"/>
      <c r="N50" s="187"/>
      <c r="O50" s="187"/>
      <c r="P50" s="156"/>
      <c r="Q50" s="157"/>
      <c r="R50" s="157"/>
      <c r="S50" s="157"/>
      <c r="T50" s="157"/>
      <c r="U50" s="157"/>
      <c r="V50" s="159"/>
    </row>
    <row r="51" spans="1:25" s="158" customFormat="1" ht="24" customHeight="1">
      <c r="A51" s="193"/>
      <c r="B51" s="226"/>
      <c r="C51" s="231"/>
      <c r="D51" s="228"/>
      <c r="E51" s="228"/>
      <c r="F51" s="194"/>
      <c r="G51" s="194"/>
      <c r="H51" s="234"/>
      <c r="I51" s="242"/>
      <c r="J51" s="195"/>
      <c r="K51" s="196"/>
      <c r="L51" s="196"/>
      <c r="M51" s="197"/>
      <c r="N51" s="187"/>
      <c r="O51" s="187"/>
      <c r="P51" s="156"/>
      <c r="Q51" s="157"/>
      <c r="R51" s="157"/>
      <c r="S51" s="157"/>
      <c r="T51" s="157"/>
      <c r="U51" s="157"/>
      <c r="V51" s="159"/>
    </row>
    <row r="52" spans="1:25" s="158" customFormat="1" ht="24" customHeight="1">
      <c r="A52" s="193"/>
      <c r="B52" s="226"/>
      <c r="C52" s="231"/>
      <c r="D52" s="229"/>
      <c r="E52" s="228"/>
      <c r="F52" s="194"/>
      <c r="G52" s="194"/>
      <c r="H52" s="234"/>
      <c r="I52" s="242"/>
      <c r="J52" s="195"/>
      <c r="K52" s="196"/>
      <c r="L52" s="196"/>
      <c r="M52" s="197"/>
      <c r="N52" s="187"/>
      <c r="O52" s="187"/>
      <c r="P52" s="156"/>
      <c r="Q52" s="157"/>
      <c r="R52" s="157"/>
      <c r="S52" s="157"/>
      <c r="T52" s="157"/>
      <c r="U52" s="157"/>
      <c r="V52" s="160"/>
      <c r="W52" s="157"/>
      <c r="X52" s="157"/>
      <c r="Y52" s="157"/>
    </row>
    <row r="53" spans="1:25" s="158" customFormat="1" ht="24" customHeight="1">
      <c r="A53" s="193"/>
      <c r="B53" s="226"/>
      <c r="C53" s="231"/>
      <c r="D53" s="229"/>
      <c r="E53" s="229"/>
      <c r="F53" s="194"/>
      <c r="G53" s="194"/>
      <c r="H53" s="238"/>
      <c r="I53" s="242"/>
      <c r="J53" s="195"/>
      <c r="K53" s="196"/>
      <c r="L53" s="196"/>
      <c r="M53" s="197"/>
      <c r="N53" s="187"/>
      <c r="O53" s="187"/>
      <c r="P53" s="156"/>
      <c r="Q53" s="157"/>
      <c r="R53" s="157"/>
      <c r="S53" s="157"/>
      <c r="T53" s="157"/>
      <c r="U53" s="157"/>
      <c r="V53" s="157"/>
    </row>
    <row r="54" spans="1:25" s="158" customFormat="1" ht="24" customHeight="1">
      <c r="A54" s="306" t="s">
        <v>109</v>
      </c>
      <c r="B54" s="307"/>
      <c r="C54" s="307"/>
      <c r="D54" s="308"/>
      <c r="E54" s="308">
        <f>SUBTOTAL(9,E29:E53)</f>
        <v>0</v>
      </c>
      <c r="F54" s="309"/>
      <c r="G54" s="309"/>
      <c r="H54" s="309"/>
      <c r="I54" s="309"/>
      <c r="J54" s="309"/>
      <c r="K54" s="309"/>
      <c r="L54" s="309"/>
      <c r="M54" s="310"/>
      <c r="N54" s="190"/>
      <c r="O54" s="190"/>
      <c r="P54" s="156"/>
      <c r="Q54" s="157"/>
      <c r="R54" s="157"/>
      <c r="S54" s="157"/>
      <c r="T54" s="157"/>
      <c r="U54" s="157"/>
      <c r="V54" s="157"/>
    </row>
    <row r="55" spans="1:25" s="158" customFormat="1" ht="24" customHeight="1">
      <c r="A55" s="215"/>
      <c r="B55" s="222"/>
      <c r="C55" s="311"/>
      <c r="D55" s="224"/>
      <c r="E55" s="224"/>
      <c r="F55" s="216"/>
      <c r="G55" s="216"/>
      <c r="H55" s="225"/>
      <c r="I55" s="243"/>
      <c r="J55" s="217"/>
      <c r="K55" s="218"/>
      <c r="L55" s="218"/>
      <c r="M55" s="219"/>
      <c r="N55" s="187"/>
      <c r="O55" s="187"/>
      <c r="P55" s="156"/>
      <c r="Q55" s="157"/>
      <c r="R55" s="157"/>
      <c r="S55" s="157"/>
      <c r="T55" s="157"/>
      <c r="U55" s="157"/>
      <c r="V55" s="159"/>
    </row>
    <row r="56" spans="1:25" s="158" customFormat="1" ht="24" customHeight="1">
      <c r="A56" s="193"/>
      <c r="B56" s="227"/>
      <c r="C56" s="227"/>
      <c r="D56" s="229"/>
      <c r="E56" s="228"/>
      <c r="F56" s="194"/>
      <c r="G56" s="194"/>
      <c r="H56" s="230"/>
      <c r="I56" s="233"/>
      <c r="J56" s="195"/>
      <c r="K56" s="196"/>
      <c r="L56" s="196"/>
      <c r="M56" s="197"/>
      <c r="N56" s="187"/>
      <c r="O56" s="187"/>
      <c r="P56" s="156"/>
      <c r="Q56" s="157"/>
      <c r="R56" s="157"/>
      <c r="S56" s="157"/>
      <c r="T56" s="157"/>
      <c r="U56" s="157"/>
      <c r="V56" s="159"/>
    </row>
    <row r="57" spans="1:25" s="158" customFormat="1" ht="24" customHeight="1">
      <c r="A57" s="193"/>
      <c r="B57" s="227"/>
      <c r="C57" s="227"/>
      <c r="D57" s="229"/>
      <c r="E57" s="228"/>
      <c r="F57" s="194"/>
      <c r="G57" s="194"/>
      <c r="H57" s="230"/>
      <c r="I57" s="233"/>
      <c r="J57" s="195"/>
      <c r="K57" s="196"/>
      <c r="L57" s="196"/>
      <c r="M57" s="197"/>
      <c r="N57" s="187"/>
      <c r="O57" s="187"/>
      <c r="P57" s="156"/>
      <c r="Q57" s="157"/>
      <c r="R57" s="157"/>
      <c r="S57" s="157"/>
      <c r="T57" s="157"/>
      <c r="U57" s="157"/>
      <c r="V57" s="159"/>
    </row>
    <row r="58" spans="1:25" s="158" customFormat="1" ht="24" customHeight="1">
      <c r="A58" s="193"/>
      <c r="B58" s="227"/>
      <c r="C58" s="227"/>
      <c r="D58" s="228"/>
      <c r="E58" s="228"/>
      <c r="F58" s="194"/>
      <c r="G58" s="194"/>
      <c r="H58" s="234"/>
      <c r="I58" s="242"/>
      <c r="J58" s="195"/>
      <c r="K58" s="196"/>
      <c r="L58" s="196"/>
      <c r="M58" s="198"/>
      <c r="N58" s="188"/>
      <c r="O58" s="187"/>
      <c r="P58" s="156"/>
      <c r="Q58" s="157"/>
      <c r="R58" s="157"/>
      <c r="S58" s="157"/>
      <c r="T58" s="157"/>
      <c r="U58" s="157"/>
      <c r="V58" s="159"/>
    </row>
    <row r="59" spans="1:25" s="158" customFormat="1" ht="24" customHeight="1">
      <c r="A59" s="193"/>
      <c r="B59" s="227"/>
      <c r="C59" s="227"/>
      <c r="D59" s="228"/>
      <c r="E59" s="228"/>
      <c r="F59" s="194"/>
      <c r="G59" s="194"/>
      <c r="H59" s="234"/>
      <c r="I59" s="242"/>
      <c r="J59" s="195"/>
      <c r="K59" s="196"/>
      <c r="L59" s="196"/>
      <c r="M59" s="197"/>
      <c r="N59" s="187"/>
      <c r="O59" s="187"/>
      <c r="P59" s="156"/>
      <c r="Q59" s="157"/>
      <c r="R59" s="157"/>
      <c r="S59" s="157"/>
      <c r="T59" s="157"/>
      <c r="U59" s="157"/>
      <c r="V59" s="160"/>
      <c r="W59" s="157"/>
      <c r="X59" s="157"/>
      <c r="Y59" s="157"/>
    </row>
    <row r="60" spans="1:25" s="158" customFormat="1" ht="24" customHeight="1">
      <c r="A60" s="193"/>
      <c r="B60" s="227"/>
      <c r="C60" s="227"/>
      <c r="D60" s="228"/>
      <c r="E60" s="228"/>
      <c r="F60" s="194"/>
      <c r="G60" s="194"/>
      <c r="H60" s="230"/>
      <c r="I60" s="233"/>
      <c r="J60" s="195"/>
      <c r="K60" s="196"/>
      <c r="L60" s="196"/>
      <c r="M60" s="197"/>
      <c r="N60" s="187"/>
      <c r="O60" s="187"/>
      <c r="P60" s="156"/>
      <c r="Q60" s="157"/>
      <c r="R60" s="157"/>
      <c r="S60" s="157"/>
      <c r="T60" s="157"/>
      <c r="U60" s="157"/>
      <c r="V60" s="160"/>
      <c r="W60" s="157"/>
      <c r="X60" s="157"/>
      <c r="Y60" s="157"/>
    </row>
    <row r="61" spans="1:25" s="158" customFormat="1" ht="24" customHeight="1">
      <c r="A61" s="193"/>
      <c r="B61" s="227"/>
      <c r="C61" s="227"/>
      <c r="D61" s="229"/>
      <c r="E61" s="228"/>
      <c r="F61" s="194"/>
      <c r="G61" s="194"/>
      <c r="H61" s="230"/>
      <c r="I61" s="233"/>
      <c r="J61" s="195"/>
      <c r="K61" s="196"/>
      <c r="L61" s="196"/>
      <c r="M61" s="197"/>
      <c r="N61" s="187"/>
      <c r="O61" s="187"/>
      <c r="P61" s="156"/>
      <c r="Q61" s="157"/>
      <c r="R61" s="157"/>
      <c r="S61" s="157"/>
      <c r="T61" s="157"/>
      <c r="U61" s="157"/>
      <c r="V61" s="157"/>
    </row>
    <row r="62" spans="1:25" s="158" customFormat="1" ht="24" customHeight="1">
      <c r="A62" s="193"/>
      <c r="B62" s="227"/>
      <c r="C62" s="227"/>
      <c r="D62" s="228"/>
      <c r="E62" s="228"/>
      <c r="F62" s="194"/>
      <c r="G62" s="194"/>
      <c r="H62" s="230"/>
      <c r="I62" s="233"/>
      <c r="J62" s="195"/>
      <c r="K62" s="196"/>
      <c r="L62" s="196"/>
      <c r="M62" s="197"/>
      <c r="N62" s="187"/>
      <c r="O62" s="187"/>
      <c r="P62" s="156"/>
      <c r="Q62" s="157"/>
      <c r="R62" s="157"/>
      <c r="S62" s="157"/>
      <c r="T62" s="157"/>
      <c r="U62" s="157"/>
      <c r="V62" s="157"/>
    </row>
    <row r="63" spans="1:25" s="158" customFormat="1" ht="24" customHeight="1">
      <c r="A63" s="193"/>
      <c r="B63" s="239"/>
      <c r="C63" s="227"/>
      <c r="D63" s="228"/>
      <c r="E63" s="228"/>
      <c r="F63" s="194"/>
      <c r="G63" s="194"/>
      <c r="H63" s="230"/>
      <c r="I63" s="233"/>
      <c r="J63" s="195"/>
      <c r="K63" s="196"/>
      <c r="L63" s="196"/>
      <c r="M63" s="197"/>
      <c r="N63" s="187"/>
      <c r="O63" s="187"/>
      <c r="P63" s="156"/>
      <c r="Q63" s="157"/>
      <c r="R63" s="157"/>
      <c r="S63" s="157"/>
      <c r="T63" s="157"/>
      <c r="U63" s="157"/>
      <c r="V63" s="157"/>
    </row>
    <row r="64" spans="1:25" s="162" customFormat="1" ht="24" customHeight="1">
      <c r="A64" s="193"/>
      <c r="B64" s="227"/>
      <c r="C64" s="227"/>
      <c r="D64" s="228"/>
      <c r="E64" s="228"/>
      <c r="F64" s="200"/>
      <c r="G64" s="200"/>
      <c r="H64" s="230"/>
      <c r="I64" s="233"/>
      <c r="J64" s="201"/>
      <c r="K64" s="202"/>
      <c r="L64" s="202"/>
      <c r="M64" s="203"/>
      <c r="N64" s="191"/>
      <c r="O64" s="187"/>
      <c r="P64" s="156"/>
      <c r="Q64" s="161"/>
      <c r="R64" s="161"/>
      <c r="S64" s="161"/>
      <c r="T64" s="161"/>
      <c r="U64" s="161"/>
      <c r="V64" s="161"/>
    </row>
    <row r="65" spans="1:22" s="158" customFormat="1" ht="24" customHeight="1">
      <c r="A65" s="193"/>
      <c r="B65" s="227"/>
      <c r="C65" s="227"/>
      <c r="D65" s="228"/>
      <c r="E65" s="228"/>
      <c r="F65" s="194"/>
      <c r="G65" s="194"/>
      <c r="H65" s="237"/>
      <c r="I65" s="242"/>
      <c r="J65" s="195"/>
      <c r="K65" s="196"/>
      <c r="L65" s="196"/>
      <c r="M65" s="198"/>
      <c r="N65" s="188"/>
      <c r="O65" s="187"/>
      <c r="P65" s="156"/>
      <c r="Q65" s="157"/>
      <c r="R65" s="157"/>
      <c r="S65" s="157"/>
      <c r="T65" s="157"/>
      <c r="U65" s="157"/>
      <c r="V65" s="157"/>
    </row>
    <row r="66" spans="1:22" s="158" customFormat="1" ht="24" customHeight="1">
      <c r="A66" s="193"/>
      <c r="B66" s="227"/>
      <c r="C66" s="227"/>
      <c r="D66" s="228"/>
      <c r="E66" s="228"/>
      <c r="F66" s="194"/>
      <c r="G66" s="194"/>
      <c r="H66" s="237"/>
      <c r="I66" s="242"/>
      <c r="J66" s="195"/>
      <c r="K66" s="196"/>
      <c r="L66" s="196"/>
      <c r="M66" s="197"/>
      <c r="N66" s="187"/>
      <c r="O66" s="187"/>
      <c r="P66" s="156"/>
      <c r="Q66" s="157"/>
      <c r="R66" s="157"/>
      <c r="S66" s="157"/>
      <c r="T66" s="157"/>
      <c r="U66" s="157"/>
      <c r="V66" s="157"/>
    </row>
    <row r="67" spans="1:22" s="158" customFormat="1" ht="24" customHeight="1">
      <c r="A67" s="193"/>
      <c r="B67" s="227"/>
      <c r="C67" s="227"/>
      <c r="D67" s="228"/>
      <c r="E67" s="228"/>
      <c r="F67" s="194"/>
      <c r="G67" s="194"/>
      <c r="H67" s="234"/>
      <c r="I67" s="242"/>
      <c r="J67" s="195"/>
      <c r="K67" s="196"/>
      <c r="L67" s="196"/>
      <c r="M67" s="197"/>
      <c r="N67" s="187"/>
      <c r="O67" s="187"/>
      <c r="P67" s="156"/>
      <c r="Q67" s="157"/>
      <c r="R67" s="157"/>
      <c r="S67" s="157"/>
      <c r="T67" s="157"/>
      <c r="U67" s="157"/>
      <c r="V67" s="157"/>
    </row>
    <row r="68" spans="1:22" s="158" customFormat="1" ht="24" customHeight="1">
      <c r="A68" s="193"/>
      <c r="B68" s="227"/>
      <c r="C68" s="227"/>
      <c r="D68" s="228"/>
      <c r="E68" s="228"/>
      <c r="F68" s="194"/>
      <c r="G68" s="194"/>
      <c r="H68" s="237"/>
      <c r="I68" s="242"/>
      <c r="J68" s="195"/>
      <c r="K68" s="196"/>
      <c r="L68" s="196"/>
      <c r="M68" s="197"/>
      <c r="N68" s="187"/>
      <c r="O68" s="187"/>
      <c r="P68" s="156"/>
      <c r="Q68" s="157"/>
      <c r="R68" s="157"/>
      <c r="S68" s="157"/>
      <c r="T68" s="157"/>
      <c r="U68" s="157"/>
      <c r="V68" s="157"/>
    </row>
    <row r="69" spans="1:22" s="158" customFormat="1" ht="24" customHeight="1">
      <c r="A69" s="193"/>
      <c r="B69" s="227"/>
      <c r="C69" s="227"/>
      <c r="D69" s="228"/>
      <c r="E69" s="228"/>
      <c r="F69" s="194"/>
      <c r="G69" s="194"/>
      <c r="H69" s="234"/>
      <c r="I69" s="242"/>
      <c r="J69" s="195"/>
      <c r="K69" s="196"/>
      <c r="L69" s="196"/>
      <c r="M69" s="197"/>
      <c r="N69" s="187"/>
      <c r="O69" s="187"/>
      <c r="P69" s="156"/>
      <c r="Q69" s="157"/>
      <c r="R69" s="157"/>
      <c r="S69" s="157"/>
      <c r="T69" s="157"/>
      <c r="U69" s="157"/>
      <c r="V69" s="157"/>
    </row>
    <row r="70" spans="1:22" s="158" customFormat="1" ht="24" customHeight="1">
      <c r="A70" s="193"/>
      <c r="B70" s="227"/>
      <c r="C70" s="227"/>
      <c r="D70" s="228"/>
      <c r="E70" s="228"/>
      <c r="F70" s="194"/>
      <c r="G70" s="194"/>
      <c r="H70" s="234"/>
      <c r="I70" s="242"/>
      <c r="J70" s="195"/>
      <c r="K70" s="196"/>
      <c r="L70" s="196"/>
      <c r="M70" s="197"/>
      <c r="N70" s="187"/>
      <c r="O70" s="187"/>
      <c r="P70" s="156"/>
      <c r="Q70" s="157"/>
      <c r="R70" s="157"/>
      <c r="S70" s="157"/>
      <c r="T70" s="157"/>
      <c r="U70" s="157"/>
      <c r="V70" s="157"/>
    </row>
    <row r="71" spans="1:22" s="158" customFormat="1" ht="24" customHeight="1">
      <c r="A71" s="193"/>
      <c r="B71" s="227"/>
      <c r="C71" s="227"/>
      <c r="D71" s="228"/>
      <c r="E71" s="228"/>
      <c r="F71" s="194"/>
      <c r="G71" s="194"/>
      <c r="H71" s="234"/>
      <c r="I71" s="242"/>
      <c r="J71" s="195"/>
      <c r="K71" s="196"/>
      <c r="L71" s="196"/>
      <c r="M71" s="197"/>
      <c r="N71" s="187"/>
      <c r="O71" s="187"/>
      <c r="P71" s="156"/>
      <c r="Q71" s="157"/>
      <c r="R71" s="157"/>
      <c r="S71" s="157"/>
      <c r="T71" s="157"/>
      <c r="U71" s="157"/>
      <c r="V71" s="157"/>
    </row>
    <row r="72" spans="1:22" s="158" customFormat="1" ht="24" customHeight="1">
      <c r="A72" s="193"/>
      <c r="B72" s="227"/>
      <c r="C72" s="227"/>
      <c r="D72" s="228"/>
      <c r="E72" s="228"/>
      <c r="F72" s="194"/>
      <c r="G72" s="194"/>
      <c r="H72" s="234"/>
      <c r="I72" s="242"/>
      <c r="J72" s="195"/>
      <c r="K72" s="196"/>
      <c r="L72" s="196"/>
      <c r="M72" s="197"/>
      <c r="N72" s="187"/>
      <c r="O72" s="187"/>
      <c r="P72" s="156"/>
      <c r="Q72" s="157"/>
      <c r="R72" s="157"/>
      <c r="S72" s="157"/>
      <c r="T72" s="157"/>
      <c r="U72" s="157"/>
      <c r="V72" s="157"/>
    </row>
    <row r="73" spans="1:22" s="158" customFormat="1" ht="24" customHeight="1">
      <c r="A73" s="193"/>
      <c r="B73" s="227"/>
      <c r="C73" s="227"/>
      <c r="D73" s="228"/>
      <c r="E73" s="228"/>
      <c r="F73" s="194"/>
      <c r="G73" s="194"/>
      <c r="H73" s="234"/>
      <c r="I73" s="242"/>
      <c r="J73" s="195"/>
      <c r="K73" s="196"/>
      <c r="L73" s="196"/>
      <c r="M73" s="197"/>
      <c r="N73" s="187"/>
      <c r="O73" s="187"/>
      <c r="P73" s="156"/>
      <c r="Q73" s="157"/>
      <c r="R73" s="157"/>
      <c r="S73" s="157"/>
      <c r="T73" s="157"/>
      <c r="U73" s="157"/>
      <c r="V73" s="157"/>
    </row>
    <row r="74" spans="1:22" s="158" customFormat="1" ht="24" customHeight="1">
      <c r="A74" s="193"/>
      <c r="B74" s="227"/>
      <c r="C74" s="227"/>
      <c r="D74" s="228"/>
      <c r="E74" s="228"/>
      <c r="F74" s="194"/>
      <c r="G74" s="194"/>
      <c r="H74" s="234"/>
      <c r="I74" s="242"/>
      <c r="J74" s="195"/>
      <c r="K74" s="196"/>
      <c r="L74" s="196"/>
      <c r="M74" s="197"/>
      <c r="N74" s="187"/>
      <c r="O74" s="187"/>
      <c r="P74" s="156"/>
      <c r="Q74" s="157"/>
      <c r="R74" s="157"/>
      <c r="S74" s="157"/>
      <c r="T74" s="157"/>
      <c r="U74" s="157"/>
      <c r="V74" s="157"/>
    </row>
    <row r="75" spans="1:22" s="158" customFormat="1" ht="24" customHeight="1">
      <c r="A75" s="193"/>
      <c r="B75" s="227"/>
      <c r="C75" s="227"/>
      <c r="D75" s="229"/>
      <c r="E75" s="229"/>
      <c r="F75" s="194"/>
      <c r="G75" s="194"/>
      <c r="H75" s="234"/>
      <c r="I75" s="242"/>
      <c r="J75" s="195"/>
      <c r="K75" s="196"/>
      <c r="L75" s="196"/>
      <c r="M75" s="197"/>
      <c r="N75" s="187"/>
      <c r="O75" s="187"/>
      <c r="P75" s="156"/>
      <c r="Q75" s="157"/>
      <c r="R75" s="157"/>
      <c r="S75" s="157"/>
      <c r="T75" s="157"/>
      <c r="U75" s="157"/>
      <c r="V75" s="157"/>
    </row>
    <row r="76" spans="1:22" s="158" customFormat="1" ht="24" customHeight="1">
      <c r="A76" s="193"/>
      <c r="B76" s="227"/>
      <c r="C76" s="227"/>
      <c r="D76" s="228"/>
      <c r="E76" s="228"/>
      <c r="F76" s="194"/>
      <c r="G76" s="194"/>
      <c r="H76" s="234"/>
      <c r="I76" s="242"/>
      <c r="J76" s="195"/>
      <c r="K76" s="196"/>
      <c r="L76" s="196"/>
      <c r="M76" s="197"/>
      <c r="N76" s="187"/>
      <c r="O76" s="187"/>
      <c r="P76" s="156"/>
      <c r="Q76" s="157"/>
      <c r="R76" s="157"/>
      <c r="S76" s="157"/>
      <c r="T76" s="157"/>
      <c r="U76" s="157"/>
      <c r="V76" s="157"/>
    </row>
    <row r="77" spans="1:22" s="158" customFormat="1" ht="24" customHeight="1">
      <c r="A77" s="193"/>
      <c r="B77" s="226"/>
      <c r="C77" s="231"/>
      <c r="D77" s="229"/>
      <c r="E77" s="228"/>
      <c r="F77" s="194"/>
      <c r="G77" s="194"/>
      <c r="H77" s="234"/>
      <c r="I77" s="242"/>
      <c r="J77" s="195"/>
      <c r="K77" s="196"/>
      <c r="L77" s="196"/>
      <c r="M77" s="197"/>
      <c r="N77" s="187"/>
      <c r="O77" s="187"/>
      <c r="P77" s="156"/>
      <c r="Q77" s="157"/>
      <c r="R77" s="157"/>
      <c r="S77" s="157"/>
      <c r="T77" s="157"/>
      <c r="U77" s="157"/>
      <c r="V77" s="157"/>
    </row>
    <row r="78" spans="1:22" s="158" customFormat="1" ht="24" customHeight="1">
      <c r="A78" s="193"/>
      <c r="B78" s="227"/>
      <c r="C78" s="227"/>
      <c r="D78" s="228"/>
      <c r="E78" s="228"/>
      <c r="F78" s="194"/>
      <c r="G78" s="194"/>
      <c r="H78" s="234"/>
      <c r="I78" s="242"/>
      <c r="J78" s="195"/>
      <c r="K78" s="196"/>
      <c r="L78" s="196"/>
      <c r="M78" s="197"/>
      <c r="N78" s="187"/>
      <c r="O78" s="187"/>
      <c r="P78" s="156"/>
      <c r="Q78" s="157"/>
      <c r="R78" s="157"/>
      <c r="S78" s="157"/>
      <c r="T78" s="157"/>
      <c r="U78" s="157"/>
      <c r="V78" s="157"/>
    </row>
    <row r="79" spans="1:22" s="158" customFormat="1" ht="24" customHeight="1">
      <c r="A79" s="193"/>
      <c r="B79" s="227"/>
      <c r="C79" s="227"/>
      <c r="D79" s="228"/>
      <c r="E79" s="228"/>
      <c r="F79" s="194"/>
      <c r="G79" s="194"/>
      <c r="H79" s="234"/>
      <c r="I79" s="242"/>
      <c r="J79" s="195"/>
      <c r="K79" s="196"/>
      <c r="L79" s="196"/>
      <c r="M79" s="197"/>
      <c r="N79" s="187"/>
      <c r="O79" s="187"/>
      <c r="P79" s="156"/>
      <c r="Q79" s="157"/>
      <c r="R79" s="157"/>
      <c r="S79" s="157"/>
      <c r="T79" s="157"/>
      <c r="U79" s="157"/>
      <c r="V79" s="157"/>
    </row>
    <row r="80" spans="1:22" s="158" customFormat="1" ht="24" customHeight="1">
      <c r="A80" s="306" t="s">
        <v>109</v>
      </c>
      <c r="B80" s="307"/>
      <c r="C80" s="307"/>
      <c r="D80" s="308"/>
      <c r="E80" s="308">
        <f>SUBTOTAL(9,E55:E79)</f>
        <v>0</v>
      </c>
      <c r="F80" s="309"/>
      <c r="G80" s="309"/>
      <c r="H80" s="309"/>
      <c r="I80" s="309"/>
      <c r="J80" s="309"/>
      <c r="K80" s="309"/>
      <c r="L80" s="309"/>
      <c r="M80" s="310"/>
      <c r="N80" s="190"/>
      <c r="O80" s="190"/>
      <c r="P80" s="156"/>
      <c r="Q80" s="157"/>
      <c r="R80" s="157"/>
      <c r="S80" s="157"/>
      <c r="T80" s="157"/>
      <c r="U80" s="157"/>
      <c r="V80" s="157"/>
    </row>
    <row r="81" spans="1:22" s="158" customFormat="1" ht="24" customHeight="1">
      <c r="A81" s="215"/>
      <c r="B81" s="222"/>
      <c r="C81" s="311"/>
      <c r="D81" s="224"/>
      <c r="E81" s="224"/>
      <c r="F81" s="216"/>
      <c r="G81" s="216"/>
      <c r="H81" s="295"/>
      <c r="I81" s="296"/>
      <c r="J81" s="217"/>
      <c r="K81" s="218"/>
      <c r="L81" s="218"/>
      <c r="M81" s="219"/>
      <c r="N81" s="187"/>
      <c r="O81" s="187"/>
      <c r="P81" s="156"/>
      <c r="Q81" s="157"/>
      <c r="R81" s="157"/>
      <c r="S81" s="157"/>
      <c r="T81" s="157"/>
      <c r="U81" s="157"/>
      <c r="V81" s="159"/>
    </row>
    <row r="82" spans="1:22" s="158" customFormat="1" ht="24" customHeight="1">
      <c r="A82" s="193"/>
      <c r="B82" s="226"/>
      <c r="C82" s="231"/>
      <c r="D82" s="228"/>
      <c r="E82" s="228"/>
      <c r="F82" s="194"/>
      <c r="G82" s="194"/>
      <c r="H82" s="230"/>
      <c r="I82" s="242"/>
      <c r="J82" s="195"/>
      <c r="K82" s="196"/>
      <c r="L82" s="196"/>
      <c r="M82" s="197"/>
      <c r="N82" s="187"/>
      <c r="O82" s="187"/>
      <c r="P82" s="156"/>
      <c r="Q82" s="157"/>
      <c r="R82" s="157"/>
      <c r="S82" s="157"/>
      <c r="T82" s="157"/>
      <c r="U82" s="157"/>
      <c r="V82" s="159"/>
    </row>
    <row r="83" spans="1:22" s="158" customFormat="1" ht="24" customHeight="1">
      <c r="A83" s="193"/>
      <c r="B83" s="226"/>
      <c r="C83" s="231"/>
      <c r="D83" s="228"/>
      <c r="E83" s="228"/>
      <c r="F83" s="194"/>
      <c r="G83" s="194"/>
      <c r="H83" s="230"/>
      <c r="I83" s="242"/>
      <c r="J83" s="195"/>
      <c r="K83" s="196"/>
      <c r="L83" s="196"/>
      <c r="M83" s="197"/>
      <c r="N83" s="187"/>
      <c r="O83" s="187"/>
      <c r="P83" s="156"/>
      <c r="Q83" s="157"/>
      <c r="R83" s="157"/>
      <c r="S83" s="157"/>
      <c r="T83" s="157"/>
      <c r="U83" s="157"/>
      <c r="V83" s="159"/>
    </row>
    <row r="84" spans="1:22" s="158" customFormat="1" ht="24" customHeight="1">
      <c r="A84" s="193"/>
      <c r="B84" s="227"/>
      <c r="C84" s="227"/>
      <c r="D84" s="228"/>
      <c r="E84" s="228"/>
      <c r="F84" s="194"/>
      <c r="G84" s="194"/>
      <c r="H84" s="230"/>
      <c r="I84" s="242"/>
      <c r="J84" s="196"/>
      <c r="K84" s="196"/>
      <c r="L84" s="196"/>
      <c r="M84" s="198"/>
      <c r="N84" s="188"/>
      <c r="O84" s="187"/>
      <c r="P84" s="156"/>
      <c r="Q84" s="157"/>
      <c r="R84" s="157"/>
      <c r="S84" s="157"/>
      <c r="T84" s="157"/>
      <c r="U84" s="157"/>
      <c r="V84" s="159"/>
    </row>
    <row r="85" spans="1:22" s="158" customFormat="1" ht="24" customHeight="1">
      <c r="A85" s="193"/>
      <c r="B85" s="226"/>
      <c r="C85" s="231"/>
      <c r="D85" s="228"/>
      <c r="E85" s="228"/>
      <c r="F85" s="194"/>
      <c r="G85" s="194"/>
      <c r="H85" s="234"/>
      <c r="I85" s="242"/>
      <c r="J85" s="196"/>
      <c r="K85" s="196"/>
      <c r="L85" s="196"/>
      <c r="M85" s="198"/>
      <c r="N85" s="188"/>
      <c r="O85" s="187"/>
      <c r="P85" s="156"/>
      <c r="Q85" s="157"/>
      <c r="R85" s="157"/>
      <c r="S85" s="157"/>
      <c r="T85" s="157"/>
      <c r="U85" s="157"/>
      <c r="V85" s="159"/>
    </row>
    <row r="86" spans="1:22" s="158" customFormat="1" ht="24" customHeight="1">
      <c r="A86" s="193"/>
      <c r="B86" s="226"/>
      <c r="C86" s="231"/>
      <c r="D86" s="228"/>
      <c r="E86" s="228"/>
      <c r="F86" s="194"/>
      <c r="G86" s="194"/>
      <c r="H86" s="234"/>
      <c r="I86" s="242"/>
      <c r="J86" s="196"/>
      <c r="K86" s="196"/>
      <c r="L86" s="196"/>
      <c r="M86" s="198"/>
      <c r="N86" s="188"/>
      <c r="O86" s="187"/>
      <c r="P86" s="156"/>
      <c r="Q86" s="157"/>
      <c r="R86" s="157"/>
      <c r="S86" s="157"/>
      <c r="T86" s="157"/>
      <c r="U86" s="157"/>
      <c r="V86" s="159"/>
    </row>
    <row r="87" spans="1:22" s="158" customFormat="1" ht="24" customHeight="1">
      <c r="A87" s="193"/>
      <c r="B87" s="227"/>
      <c r="C87" s="227"/>
      <c r="D87" s="228"/>
      <c r="E87" s="228"/>
      <c r="F87" s="194"/>
      <c r="G87" s="194"/>
      <c r="H87" s="234"/>
      <c r="I87" s="242"/>
      <c r="J87" s="196"/>
      <c r="K87" s="196"/>
      <c r="L87" s="196"/>
      <c r="M87" s="198"/>
      <c r="N87" s="188"/>
      <c r="O87" s="187"/>
      <c r="P87" s="156"/>
      <c r="Q87" s="157"/>
      <c r="R87" s="157"/>
      <c r="S87" s="157"/>
      <c r="T87" s="157"/>
      <c r="U87" s="157"/>
      <c r="V87" s="159"/>
    </row>
    <row r="88" spans="1:22" s="158" customFormat="1" ht="24" customHeight="1">
      <c r="A88" s="193"/>
      <c r="B88" s="226"/>
      <c r="C88" s="231"/>
      <c r="D88" s="228"/>
      <c r="E88" s="228"/>
      <c r="F88" s="194"/>
      <c r="G88" s="194"/>
      <c r="H88" s="234"/>
      <c r="I88" s="242"/>
      <c r="J88" s="196"/>
      <c r="K88" s="196"/>
      <c r="L88" s="196"/>
      <c r="M88" s="198"/>
      <c r="N88" s="188"/>
      <c r="O88" s="187"/>
      <c r="P88" s="156"/>
      <c r="Q88" s="157"/>
      <c r="R88" s="157"/>
      <c r="S88" s="157"/>
      <c r="T88" s="157"/>
      <c r="U88" s="157"/>
      <c r="V88" s="159"/>
    </row>
    <row r="89" spans="1:22" s="158" customFormat="1" ht="24" customHeight="1">
      <c r="A89" s="193"/>
      <c r="B89" s="226"/>
      <c r="C89" s="231"/>
      <c r="D89" s="228"/>
      <c r="E89" s="228"/>
      <c r="F89" s="194"/>
      <c r="G89" s="194"/>
      <c r="H89" s="230"/>
      <c r="I89" s="242"/>
      <c r="J89" s="196"/>
      <c r="K89" s="196"/>
      <c r="L89" s="196"/>
      <c r="M89" s="198"/>
      <c r="N89" s="188"/>
      <c r="O89" s="187"/>
      <c r="P89" s="156"/>
      <c r="Q89" s="157"/>
      <c r="R89" s="157"/>
      <c r="S89" s="157"/>
      <c r="T89" s="157"/>
      <c r="U89" s="157"/>
      <c r="V89" s="159"/>
    </row>
    <row r="90" spans="1:22" s="158" customFormat="1" ht="24" customHeight="1">
      <c r="A90" s="193"/>
      <c r="B90" s="226"/>
      <c r="C90" s="231"/>
      <c r="D90" s="228"/>
      <c r="E90" s="228"/>
      <c r="F90" s="194"/>
      <c r="G90" s="194"/>
      <c r="H90" s="230"/>
      <c r="I90" s="242"/>
      <c r="J90" s="196"/>
      <c r="K90" s="196"/>
      <c r="L90" s="196"/>
      <c r="M90" s="198"/>
      <c r="N90" s="188"/>
      <c r="O90" s="187"/>
      <c r="P90" s="156"/>
      <c r="Q90" s="157"/>
      <c r="R90" s="157"/>
      <c r="S90" s="157"/>
      <c r="T90" s="157"/>
      <c r="U90" s="157"/>
      <c r="V90" s="159"/>
    </row>
    <row r="91" spans="1:22" s="158" customFormat="1" ht="24" customHeight="1">
      <c r="A91" s="193"/>
      <c r="B91" s="227"/>
      <c r="C91" s="227"/>
      <c r="D91" s="228"/>
      <c r="E91" s="228"/>
      <c r="F91" s="194"/>
      <c r="G91" s="194"/>
      <c r="H91" s="230"/>
      <c r="I91" s="242"/>
      <c r="J91" s="196"/>
      <c r="K91" s="196"/>
      <c r="L91" s="196"/>
      <c r="M91" s="198"/>
      <c r="N91" s="188"/>
      <c r="O91" s="187"/>
      <c r="P91" s="156"/>
      <c r="Q91" s="157"/>
      <c r="R91" s="157"/>
      <c r="S91" s="157"/>
      <c r="T91" s="157"/>
      <c r="U91" s="157"/>
      <c r="V91" s="159"/>
    </row>
    <row r="92" spans="1:22" s="158" customFormat="1" ht="24" customHeight="1">
      <c r="A92" s="193"/>
      <c r="B92" s="226"/>
      <c r="C92" s="231"/>
      <c r="D92" s="228"/>
      <c r="E92" s="228"/>
      <c r="F92" s="194"/>
      <c r="G92" s="194"/>
      <c r="H92" s="234"/>
      <c r="I92" s="242"/>
      <c r="J92" s="196"/>
      <c r="K92" s="196"/>
      <c r="L92" s="196"/>
      <c r="M92" s="198"/>
      <c r="N92" s="188"/>
      <c r="O92" s="187"/>
      <c r="P92" s="156"/>
      <c r="Q92" s="157"/>
      <c r="R92" s="157"/>
      <c r="S92" s="157"/>
      <c r="T92" s="157"/>
      <c r="U92" s="157"/>
      <c r="V92" s="159"/>
    </row>
    <row r="93" spans="1:22" s="158" customFormat="1" ht="24" customHeight="1">
      <c r="A93" s="193"/>
      <c r="B93" s="226"/>
      <c r="C93" s="231"/>
      <c r="D93" s="228"/>
      <c r="E93" s="228"/>
      <c r="F93" s="194"/>
      <c r="G93" s="194"/>
      <c r="H93" s="234"/>
      <c r="I93" s="242"/>
      <c r="J93" s="196"/>
      <c r="K93" s="196"/>
      <c r="L93" s="196"/>
      <c r="M93" s="198"/>
      <c r="N93" s="188"/>
      <c r="O93" s="187"/>
      <c r="P93" s="156"/>
      <c r="Q93" s="157"/>
      <c r="R93" s="157"/>
      <c r="S93" s="157"/>
      <c r="T93" s="157"/>
      <c r="U93" s="157"/>
      <c r="V93" s="159"/>
    </row>
    <row r="94" spans="1:22" s="158" customFormat="1" ht="24" customHeight="1">
      <c r="A94" s="193"/>
      <c r="B94" s="227"/>
      <c r="C94" s="227"/>
      <c r="D94" s="228"/>
      <c r="E94" s="228"/>
      <c r="F94" s="194"/>
      <c r="G94" s="194"/>
      <c r="H94" s="230"/>
      <c r="I94" s="233"/>
      <c r="J94" s="196"/>
      <c r="K94" s="196"/>
      <c r="L94" s="196"/>
      <c r="M94" s="198"/>
      <c r="N94" s="188"/>
      <c r="O94" s="187"/>
      <c r="P94" s="156"/>
      <c r="Q94" s="157"/>
      <c r="R94" s="157"/>
      <c r="S94" s="157"/>
      <c r="T94" s="157"/>
      <c r="U94" s="157"/>
      <c r="V94" s="159"/>
    </row>
    <row r="95" spans="1:22" s="158" customFormat="1" ht="24" customHeight="1">
      <c r="A95" s="193"/>
      <c r="B95" s="227"/>
      <c r="C95" s="227"/>
      <c r="D95" s="228"/>
      <c r="E95" s="228"/>
      <c r="F95" s="194"/>
      <c r="G95" s="194"/>
      <c r="H95" s="230"/>
      <c r="I95" s="233"/>
      <c r="J95" s="196"/>
      <c r="K95" s="196"/>
      <c r="L95" s="196"/>
      <c r="M95" s="198"/>
      <c r="N95" s="188"/>
      <c r="O95" s="187"/>
      <c r="P95" s="156"/>
      <c r="Q95" s="157"/>
      <c r="R95" s="157"/>
      <c r="S95" s="157"/>
      <c r="T95" s="157"/>
      <c r="U95" s="157"/>
      <c r="V95" s="159"/>
    </row>
    <row r="96" spans="1:22" s="158" customFormat="1" ht="24" customHeight="1">
      <c r="A96" s="193"/>
      <c r="B96" s="227"/>
      <c r="C96" s="227"/>
      <c r="D96" s="228"/>
      <c r="E96" s="228"/>
      <c r="F96" s="194"/>
      <c r="G96" s="194"/>
      <c r="H96" s="230"/>
      <c r="I96" s="233"/>
      <c r="J96" s="196"/>
      <c r="K96" s="196"/>
      <c r="L96" s="196"/>
      <c r="M96" s="198"/>
      <c r="N96" s="188"/>
      <c r="O96" s="187"/>
      <c r="P96" s="156"/>
      <c r="Q96" s="157"/>
      <c r="R96" s="157"/>
      <c r="S96" s="157"/>
      <c r="T96" s="157"/>
      <c r="U96" s="157"/>
      <c r="V96" s="159"/>
    </row>
    <row r="97" spans="1:22" s="158" customFormat="1" ht="24" customHeight="1">
      <c r="A97" s="193"/>
      <c r="B97" s="227"/>
      <c r="C97" s="227"/>
      <c r="D97" s="228"/>
      <c r="E97" s="228"/>
      <c r="F97" s="194"/>
      <c r="G97" s="194"/>
      <c r="H97" s="230"/>
      <c r="I97" s="233"/>
      <c r="J97" s="196"/>
      <c r="K97" s="196"/>
      <c r="L97" s="196"/>
      <c r="M97" s="198"/>
      <c r="N97" s="188"/>
      <c r="O97" s="187"/>
      <c r="P97" s="156"/>
      <c r="Q97" s="157"/>
      <c r="R97" s="157"/>
      <c r="S97" s="157"/>
      <c r="T97" s="157"/>
      <c r="U97" s="157"/>
      <c r="V97" s="159"/>
    </row>
    <row r="98" spans="1:22" s="158" customFormat="1" ht="24" customHeight="1">
      <c r="A98" s="193"/>
      <c r="B98" s="227"/>
      <c r="C98" s="227"/>
      <c r="D98" s="228"/>
      <c r="E98" s="228"/>
      <c r="F98" s="194"/>
      <c r="G98" s="194"/>
      <c r="H98" s="230"/>
      <c r="I98" s="233"/>
      <c r="J98" s="196"/>
      <c r="K98" s="196"/>
      <c r="L98" s="196"/>
      <c r="M98" s="198"/>
      <c r="N98" s="188"/>
      <c r="O98" s="187"/>
      <c r="P98" s="156"/>
      <c r="Q98" s="157"/>
      <c r="R98" s="157"/>
      <c r="S98" s="157"/>
      <c r="T98" s="157"/>
      <c r="U98" s="157"/>
      <c r="V98" s="159"/>
    </row>
    <row r="99" spans="1:22" s="158" customFormat="1" ht="24" customHeight="1">
      <c r="A99" s="193"/>
      <c r="B99" s="227"/>
      <c r="C99" s="227"/>
      <c r="D99" s="228"/>
      <c r="E99" s="228"/>
      <c r="F99" s="194"/>
      <c r="G99" s="194"/>
      <c r="H99" s="230"/>
      <c r="I99" s="233"/>
      <c r="J99" s="196"/>
      <c r="K99" s="196"/>
      <c r="L99" s="196"/>
      <c r="M99" s="198"/>
      <c r="N99" s="188"/>
      <c r="O99" s="187"/>
      <c r="P99" s="156"/>
      <c r="Q99" s="157"/>
      <c r="R99" s="157"/>
      <c r="S99" s="157"/>
      <c r="T99" s="157"/>
      <c r="U99" s="157"/>
      <c r="V99" s="159"/>
    </row>
    <row r="100" spans="1:22" s="158" customFormat="1" ht="24" customHeight="1">
      <c r="A100" s="193"/>
      <c r="B100" s="227"/>
      <c r="C100" s="227"/>
      <c r="D100" s="228"/>
      <c r="E100" s="228"/>
      <c r="F100" s="194"/>
      <c r="G100" s="194"/>
      <c r="H100" s="234"/>
      <c r="I100" s="242"/>
      <c r="J100" s="196"/>
      <c r="K100" s="196"/>
      <c r="L100" s="196"/>
      <c r="M100" s="198"/>
      <c r="N100" s="188"/>
      <c r="O100" s="187"/>
      <c r="P100" s="156"/>
      <c r="Q100" s="157"/>
      <c r="R100" s="157"/>
      <c r="S100" s="157"/>
      <c r="T100" s="157"/>
      <c r="U100" s="157"/>
      <c r="V100" s="159"/>
    </row>
    <row r="101" spans="1:22" s="158" customFormat="1" ht="24" customHeight="1">
      <c r="A101" s="193"/>
      <c r="B101" s="226"/>
      <c r="C101" s="231"/>
      <c r="D101" s="229"/>
      <c r="E101" s="229"/>
      <c r="F101" s="194"/>
      <c r="G101" s="194"/>
      <c r="H101" s="234"/>
      <c r="I101" s="233"/>
      <c r="J101" s="196"/>
      <c r="K101" s="196"/>
      <c r="L101" s="196"/>
      <c r="M101" s="198"/>
      <c r="N101" s="188"/>
      <c r="O101" s="187"/>
      <c r="P101" s="156"/>
      <c r="Q101" s="157"/>
      <c r="R101" s="157"/>
      <c r="S101" s="157"/>
      <c r="T101" s="157"/>
      <c r="U101" s="157"/>
      <c r="V101" s="159"/>
    </row>
    <row r="102" spans="1:22" s="158" customFormat="1" ht="24" customHeight="1">
      <c r="A102" s="193"/>
      <c r="B102" s="226"/>
      <c r="C102" s="231"/>
      <c r="D102" s="228"/>
      <c r="E102" s="228"/>
      <c r="F102" s="194"/>
      <c r="G102" s="194"/>
      <c r="H102" s="234"/>
      <c r="I102" s="242"/>
      <c r="J102" s="196"/>
      <c r="K102" s="196"/>
      <c r="L102" s="196"/>
      <c r="M102" s="198"/>
      <c r="N102" s="188"/>
      <c r="O102" s="187"/>
      <c r="P102" s="156"/>
      <c r="Q102" s="157"/>
      <c r="R102" s="157"/>
      <c r="S102" s="157"/>
      <c r="T102" s="157"/>
      <c r="U102" s="157"/>
      <c r="V102" s="159"/>
    </row>
    <row r="103" spans="1:22" s="158" customFormat="1" ht="24" customHeight="1">
      <c r="A103" s="193"/>
      <c r="B103" s="226"/>
      <c r="C103" s="231"/>
      <c r="D103" s="229"/>
      <c r="E103" s="228"/>
      <c r="F103" s="194"/>
      <c r="G103" s="194"/>
      <c r="H103" s="234"/>
      <c r="I103" s="233"/>
      <c r="J103" s="196"/>
      <c r="K103" s="196"/>
      <c r="L103" s="196"/>
      <c r="M103" s="198"/>
      <c r="N103" s="188"/>
      <c r="O103" s="187"/>
      <c r="P103" s="156"/>
      <c r="Q103" s="157"/>
      <c r="R103" s="157"/>
      <c r="S103" s="157"/>
      <c r="T103" s="157"/>
      <c r="U103" s="157"/>
      <c r="V103" s="159"/>
    </row>
    <row r="104" spans="1:22" s="158" customFormat="1" ht="24" customHeight="1">
      <c r="A104" s="193"/>
      <c r="B104" s="226"/>
      <c r="C104" s="231"/>
      <c r="D104" s="228"/>
      <c r="E104" s="228"/>
      <c r="F104" s="194"/>
      <c r="G104" s="194"/>
      <c r="H104" s="234"/>
      <c r="I104" s="242"/>
      <c r="J104" s="196"/>
      <c r="K104" s="196"/>
      <c r="L104" s="196"/>
      <c r="M104" s="198"/>
      <c r="N104" s="188"/>
      <c r="O104" s="187"/>
      <c r="P104" s="156"/>
      <c r="Q104" s="157"/>
      <c r="R104" s="157"/>
      <c r="S104" s="157"/>
      <c r="T104" s="157"/>
      <c r="U104" s="157"/>
      <c r="V104" s="159"/>
    </row>
    <row r="105" spans="1:22" s="158" customFormat="1" ht="24" customHeight="1">
      <c r="A105" s="193"/>
      <c r="B105" s="226"/>
      <c r="C105" s="231"/>
      <c r="D105" s="228"/>
      <c r="E105" s="228"/>
      <c r="F105" s="194"/>
      <c r="G105" s="194"/>
      <c r="H105" s="230"/>
      <c r="I105" s="242"/>
      <c r="J105" s="196"/>
      <c r="K105" s="196"/>
      <c r="L105" s="196"/>
      <c r="M105" s="198"/>
      <c r="N105" s="188"/>
      <c r="O105" s="187"/>
      <c r="P105" s="156"/>
      <c r="Q105" s="157"/>
      <c r="R105" s="157"/>
      <c r="S105" s="157"/>
      <c r="T105" s="157"/>
      <c r="U105" s="157"/>
      <c r="V105" s="159"/>
    </row>
    <row r="106" spans="1:22" s="158" customFormat="1" ht="24" customHeight="1">
      <c r="A106" s="306" t="s">
        <v>109</v>
      </c>
      <c r="B106" s="307"/>
      <c r="C106" s="307"/>
      <c r="D106" s="308"/>
      <c r="E106" s="308">
        <f>SUBTOTAL(9,E81:E105)</f>
        <v>0</v>
      </c>
      <c r="F106" s="309"/>
      <c r="G106" s="309"/>
      <c r="H106" s="309"/>
      <c r="I106" s="309"/>
      <c r="J106" s="309"/>
      <c r="K106" s="309"/>
      <c r="L106" s="309"/>
      <c r="M106" s="310"/>
      <c r="N106" s="190"/>
      <c r="O106" s="190"/>
      <c r="P106" s="156"/>
      <c r="Q106" s="157"/>
      <c r="R106" s="157"/>
      <c r="S106" s="157"/>
      <c r="T106" s="157"/>
      <c r="U106" s="157"/>
      <c r="V106" s="157"/>
    </row>
    <row r="107" spans="1:22" s="158" customFormat="1" ht="24" customHeight="1">
      <c r="A107" s="215"/>
      <c r="B107" s="222"/>
      <c r="C107" s="311"/>
      <c r="D107" s="224"/>
      <c r="E107" s="224"/>
      <c r="F107" s="216"/>
      <c r="G107" s="216"/>
      <c r="H107" s="225"/>
      <c r="I107" s="296"/>
      <c r="J107" s="218"/>
      <c r="K107" s="218"/>
      <c r="L107" s="218"/>
      <c r="M107" s="313"/>
      <c r="N107" s="188"/>
      <c r="O107" s="187"/>
      <c r="P107" s="156"/>
      <c r="Q107" s="157"/>
      <c r="R107" s="157"/>
      <c r="S107" s="157"/>
      <c r="T107" s="157"/>
      <c r="U107" s="157"/>
      <c r="V107" s="159"/>
    </row>
    <row r="108" spans="1:22" s="158" customFormat="1" ht="24" customHeight="1">
      <c r="A108" s="193"/>
      <c r="B108" s="226"/>
      <c r="C108" s="231"/>
      <c r="D108" s="229"/>
      <c r="E108" s="228"/>
      <c r="F108" s="194"/>
      <c r="G108" s="194"/>
      <c r="H108" s="234"/>
      <c r="I108" s="242"/>
      <c r="J108" s="196"/>
      <c r="K108" s="196"/>
      <c r="L108" s="196"/>
      <c r="M108" s="198"/>
      <c r="N108" s="188"/>
      <c r="O108" s="187"/>
      <c r="P108" s="156"/>
      <c r="Q108" s="157"/>
      <c r="R108" s="157"/>
      <c r="S108" s="157"/>
      <c r="T108" s="157"/>
      <c r="U108" s="157"/>
      <c r="V108" s="159"/>
    </row>
    <row r="109" spans="1:22" s="158" customFormat="1" ht="24" customHeight="1">
      <c r="A109" s="193"/>
      <c r="B109" s="226"/>
      <c r="C109" s="231"/>
      <c r="D109" s="228"/>
      <c r="E109" s="228"/>
      <c r="F109" s="194"/>
      <c r="G109" s="194"/>
      <c r="H109" s="234"/>
      <c r="I109" s="242"/>
      <c r="J109" s="196"/>
      <c r="K109" s="196"/>
      <c r="L109" s="196"/>
      <c r="M109" s="198"/>
      <c r="N109" s="188"/>
      <c r="O109" s="187"/>
      <c r="P109" s="156"/>
      <c r="Q109" s="157"/>
      <c r="R109" s="157"/>
      <c r="S109" s="157"/>
      <c r="T109" s="157"/>
      <c r="U109" s="157"/>
      <c r="V109" s="159"/>
    </row>
    <row r="110" spans="1:22" s="158" customFormat="1" ht="24" customHeight="1">
      <c r="A110" s="193"/>
      <c r="B110" s="226"/>
      <c r="C110" s="231"/>
      <c r="D110" s="228"/>
      <c r="E110" s="228"/>
      <c r="F110" s="194"/>
      <c r="G110" s="194"/>
      <c r="H110" s="232"/>
      <c r="I110" s="242"/>
      <c r="J110" s="196"/>
      <c r="K110" s="196"/>
      <c r="L110" s="196"/>
      <c r="M110" s="198"/>
      <c r="N110" s="188"/>
      <c r="O110" s="187"/>
      <c r="P110" s="156"/>
      <c r="Q110" s="157"/>
      <c r="R110" s="157"/>
      <c r="S110" s="157"/>
      <c r="T110" s="157"/>
      <c r="U110" s="157"/>
      <c r="V110" s="159"/>
    </row>
    <row r="111" spans="1:22" s="158" customFormat="1" ht="24" customHeight="1">
      <c r="A111" s="193"/>
      <c r="B111" s="226"/>
      <c r="C111" s="231"/>
      <c r="D111" s="228"/>
      <c r="E111" s="228"/>
      <c r="F111" s="194"/>
      <c r="G111" s="194"/>
      <c r="H111" s="232"/>
      <c r="I111" s="242"/>
      <c r="J111" s="196"/>
      <c r="K111" s="196"/>
      <c r="L111" s="196"/>
      <c r="M111" s="198"/>
      <c r="N111" s="188"/>
      <c r="O111" s="187"/>
      <c r="P111" s="156"/>
      <c r="Q111" s="157"/>
      <c r="R111" s="157"/>
      <c r="S111" s="157"/>
      <c r="T111" s="157"/>
      <c r="U111" s="157"/>
      <c r="V111" s="159"/>
    </row>
    <row r="112" spans="1:22" s="158" customFormat="1" ht="24" customHeight="1">
      <c r="A112" s="193"/>
      <c r="B112" s="226"/>
      <c r="C112" s="231"/>
      <c r="D112" s="228"/>
      <c r="E112" s="228"/>
      <c r="F112" s="194"/>
      <c r="G112" s="194"/>
      <c r="H112" s="232"/>
      <c r="I112" s="242"/>
      <c r="J112" s="196"/>
      <c r="K112" s="196"/>
      <c r="L112" s="196"/>
      <c r="M112" s="198"/>
      <c r="N112" s="188"/>
      <c r="O112" s="187"/>
      <c r="P112" s="156"/>
      <c r="Q112" s="157"/>
      <c r="R112" s="157"/>
      <c r="S112" s="157"/>
      <c r="T112" s="157"/>
      <c r="U112" s="157"/>
      <c r="V112" s="159"/>
    </row>
    <row r="113" spans="1:22" s="158" customFormat="1" ht="24" customHeight="1">
      <c r="A113" s="193"/>
      <c r="B113" s="226"/>
      <c r="C113" s="231"/>
      <c r="D113" s="228"/>
      <c r="E113" s="228"/>
      <c r="F113" s="194"/>
      <c r="G113" s="194"/>
      <c r="H113" s="237"/>
      <c r="I113" s="242"/>
      <c r="J113" s="196"/>
      <c r="K113" s="196"/>
      <c r="L113" s="196"/>
      <c r="M113" s="198"/>
      <c r="N113" s="188"/>
      <c r="O113" s="187"/>
      <c r="P113" s="156"/>
      <c r="Q113" s="157"/>
      <c r="R113" s="157"/>
      <c r="S113" s="157"/>
      <c r="T113" s="157"/>
      <c r="U113" s="157"/>
      <c r="V113" s="159"/>
    </row>
    <row r="114" spans="1:22" s="158" customFormat="1" ht="24" customHeight="1">
      <c r="A114" s="193"/>
      <c r="B114" s="226"/>
      <c r="C114" s="231"/>
      <c r="D114" s="228"/>
      <c r="E114" s="228"/>
      <c r="F114" s="194"/>
      <c r="G114" s="194"/>
      <c r="H114" s="234"/>
      <c r="I114" s="242"/>
      <c r="J114" s="196"/>
      <c r="K114" s="196"/>
      <c r="L114" s="196"/>
      <c r="M114" s="198"/>
      <c r="N114" s="188"/>
      <c r="O114" s="187"/>
      <c r="P114" s="156"/>
      <c r="Q114" s="157"/>
      <c r="R114" s="157"/>
      <c r="S114" s="157"/>
      <c r="T114" s="157"/>
      <c r="U114" s="157"/>
      <c r="V114" s="159"/>
    </row>
    <row r="115" spans="1:22" s="158" customFormat="1" ht="24" customHeight="1">
      <c r="A115" s="193"/>
      <c r="B115" s="227"/>
      <c r="C115" s="227"/>
      <c r="D115" s="229"/>
      <c r="E115" s="228"/>
      <c r="F115" s="194"/>
      <c r="G115" s="194"/>
      <c r="H115" s="230"/>
      <c r="I115" s="242"/>
      <c r="J115" s="196"/>
      <c r="K115" s="196"/>
      <c r="L115" s="196"/>
      <c r="M115" s="198"/>
      <c r="N115" s="188"/>
      <c r="O115" s="187"/>
      <c r="P115" s="156"/>
      <c r="Q115" s="157"/>
      <c r="R115" s="157"/>
      <c r="S115" s="157"/>
      <c r="T115" s="157"/>
      <c r="U115" s="157"/>
      <c r="V115" s="159"/>
    </row>
    <row r="116" spans="1:22" s="158" customFormat="1" ht="24" customHeight="1">
      <c r="A116" s="193"/>
      <c r="B116" s="227"/>
      <c r="C116" s="227"/>
      <c r="D116" s="228"/>
      <c r="E116" s="228"/>
      <c r="F116" s="194"/>
      <c r="G116" s="194"/>
      <c r="H116" s="230"/>
      <c r="I116" s="233"/>
      <c r="J116" s="196"/>
      <c r="K116" s="196"/>
      <c r="L116" s="196"/>
      <c r="M116" s="198"/>
      <c r="N116" s="188"/>
      <c r="O116" s="187"/>
      <c r="P116" s="156"/>
      <c r="Q116" s="157"/>
      <c r="R116" s="157"/>
      <c r="S116" s="157"/>
      <c r="T116" s="157"/>
      <c r="U116" s="157"/>
      <c r="V116" s="159"/>
    </row>
    <row r="117" spans="1:22" s="158" customFormat="1" ht="24" customHeight="1">
      <c r="A117" s="193"/>
      <c r="B117" s="227"/>
      <c r="C117" s="227"/>
      <c r="D117" s="228"/>
      <c r="E117" s="228"/>
      <c r="F117" s="194"/>
      <c r="G117" s="194"/>
      <c r="H117" s="230"/>
      <c r="I117" s="233"/>
      <c r="J117" s="196"/>
      <c r="K117" s="196"/>
      <c r="L117" s="196"/>
      <c r="M117" s="198"/>
      <c r="N117" s="188"/>
      <c r="O117" s="187"/>
      <c r="P117" s="156"/>
      <c r="Q117" s="157"/>
      <c r="R117" s="157"/>
      <c r="S117" s="157"/>
      <c r="T117" s="157"/>
      <c r="U117" s="157"/>
      <c r="V117" s="159"/>
    </row>
    <row r="118" spans="1:22" s="158" customFormat="1" ht="24" customHeight="1">
      <c r="A118" s="193"/>
      <c r="B118" s="227"/>
      <c r="C118" s="227"/>
      <c r="D118" s="228"/>
      <c r="E118" s="228"/>
      <c r="F118" s="194"/>
      <c r="G118" s="194"/>
      <c r="H118" s="234"/>
      <c r="I118" s="233"/>
      <c r="J118" s="196"/>
      <c r="K118" s="196"/>
      <c r="L118" s="196"/>
      <c r="M118" s="198"/>
      <c r="N118" s="188"/>
      <c r="O118" s="187"/>
      <c r="P118" s="156"/>
      <c r="Q118" s="157"/>
      <c r="R118" s="157"/>
      <c r="S118" s="157"/>
      <c r="T118" s="157"/>
      <c r="U118" s="157"/>
      <c r="V118" s="159"/>
    </row>
    <row r="119" spans="1:22" s="158" customFormat="1" ht="24" customHeight="1">
      <c r="A119" s="193"/>
      <c r="B119" s="227"/>
      <c r="C119" s="227"/>
      <c r="D119" s="228"/>
      <c r="E119" s="228"/>
      <c r="F119" s="194"/>
      <c r="G119" s="194"/>
      <c r="H119" s="234"/>
      <c r="I119" s="233"/>
      <c r="J119" s="196"/>
      <c r="K119" s="196"/>
      <c r="L119" s="196"/>
      <c r="M119" s="198"/>
      <c r="N119" s="188"/>
      <c r="O119" s="187"/>
      <c r="P119" s="156"/>
      <c r="Q119" s="157"/>
      <c r="R119" s="157"/>
      <c r="S119" s="157"/>
      <c r="T119" s="157"/>
      <c r="U119" s="157"/>
      <c r="V119" s="159"/>
    </row>
    <row r="120" spans="1:22" s="158" customFormat="1" ht="24" customHeight="1">
      <c r="A120" s="193"/>
      <c r="B120" s="227"/>
      <c r="C120" s="227"/>
      <c r="D120" s="228"/>
      <c r="E120" s="228"/>
      <c r="F120" s="194"/>
      <c r="G120" s="194"/>
      <c r="H120" s="234"/>
      <c r="I120" s="233"/>
      <c r="J120" s="196"/>
      <c r="K120" s="196"/>
      <c r="L120" s="196"/>
      <c r="M120" s="198"/>
      <c r="N120" s="188"/>
      <c r="O120" s="187"/>
      <c r="P120" s="156"/>
      <c r="Q120" s="157"/>
      <c r="R120" s="157"/>
      <c r="S120" s="157"/>
      <c r="T120" s="157"/>
      <c r="U120" s="157"/>
      <c r="V120" s="159"/>
    </row>
    <row r="121" spans="1:22" s="158" customFormat="1" ht="24" customHeight="1">
      <c r="A121" s="193"/>
      <c r="B121" s="227"/>
      <c r="C121" s="227"/>
      <c r="D121" s="228"/>
      <c r="E121" s="228"/>
      <c r="F121" s="194"/>
      <c r="G121" s="194"/>
      <c r="H121" s="234"/>
      <c r="I121" s="233"/>
      <c r="J121" s="196"/>
      <c r="K121" s="196"/>
      <c r="L121" s="196"/>
      <c r="M121" s="198"/>
      <c r="N121" s="188"/>
      <c r="O121" s="187"/>
      <c r="P121" s="156"/>
      <c r="Q121" s="157"/>
      <c r="R121" s="157"/>
      <c r="S121" s="157"/>
      <c r="T121" s="157"/>
      <c r="U121" s="157"/>
      <c r="V121" s="159"/>
    </row>
    <row r="122" spans="1:22" s="158" customFormat="1" ht="24" customHeight="1">
      <c r="A122" s="193"/>
      <c r="B122" s="227"/>
      <c r="C122" s="227"/>
      <c r="D122" s="228"/>
      <c r="E122" s="228"/>
      <c r="F122" s="194"/>
      <c r="G122" s="194"/>
      <c r="H122" s="234"/>
      <c r="I122" s="233"/>
      <c r="J122" s="196"/>
      <c r="K122" s="196"/>
      <c r="L122" s="196"/>
      <c r="M122" s="198"/>
      <c r="N122" s="188"/>
      <c r="O122" s="187"/>
      <c r="P122" s="156"/>
      <c r="Q122" s="157"/>
      <c r="R122" s="157"/>
      <c r="S122" s="157"/>
      <c r="T122" s="157"/>
      <c r="U122" s="157"/>
      <c r="V122" s="159"/>
    </row>
    <row r="123" spans="1:22" s="158" customFormat="1" ht="24" customHeight="1">
      <c r="A123" s="193"/>
      <c r="B123" s="227"/>
      <c r="C123" s="227"/>
      <c r="D123" s="228"/>
      <c r="E123" s="228"/>
      <c r="F123" s="194"/>
      <c r="G123" s="194"/>
      <c r="H123" s="234"/>
      <c r="I123" s="233"/>
      <c r="J123" s="196"/>
      <c r="K123" s="196"/>
      <c r="L123" s="196"/>
      <c r="M123" s="198"/>
      <c r="N123" s="188"/>
      <c r="O123" s="187"/>
      <c r="P123" s="156"/>
      <c r="Q123" s="157"/>
      <c r="R123" s="157"/>
      <c r="S123" s="157"/>
      <c r="T123" s="157"/>
      <c r="U123" s="157"/>
      <c r="V123" s="159"/>
    </row>
    <row r="124" spans="1:22" s="158" customFormat="1" ht="24" customHeight="1">
      <c r="A124" s="193"/>
      <c r="B124" s="227"/>
      <c r="C124" s="227"/>
      <c r="D124" s="229"/>
      <c r="E124" s="229"/>
      <c r="F124" s="194"/>
      <c r="G124" s="194"/>
      <c r="H124" s="240"/>
      <c r="I124" s="233"/>
      <c r="J124" s="196"/>
      <c r="K124" s="196"/>
      <c r="L124" s="196"/>
      <c r="M124" s="198"/>
      <c r="N124" s="188"/>
      <c r="O124" s="187"/>
      <c r="P124" s="156"/>
      <c r="Q124" s="157"/>
      <c r="R124" s="157"/>
      <c r="S124" s="157"/>
      <c r="T124" s="157"/>
      <c r="U124" s="157"/>
      <c r="V124" s="159"/>
    </row>
    <row r="125" spans="1:22" s="158" customFormat="1" ht="24" customHeight="1">
      <c r="A125" s="193"/>
      <c r="B125" s="227"/>
      <c r="C125" s="227"/>
      <c r="D125" s="228"/>
      <c r="E125" s="228"/>
      <c r="F125" s="194"/>
      <c r="G125" s="194"/>
      <c r="H125" s="230"/>
      <c r="I125" s="233"/>
      <c r="J125" s="196"/>
      <c r="K125" s="196"/>
      <c r="L125" s="196"/>
      <c r="M125" s="198"/>
      <c r="N125" s="188"/>
      <c r="O125" s="187"/>
      <c r="P125" s="156"/>
      <c r="Q125" s="157"/>
      <c r="R125" s="157"/>
      <c r="S125" s="157"/>
      <c r="T125" s="157"/>
      <c r="U125" s="157"/>
      <c r="V125" s="159"/>
    </row>
    <row r="126" spans="1:22" s="158" customFormat="1" ht="24" customHeight="1">
      <c r="A126" s="193"/>
      <c r="B126" s="226"/>
      <c r="C126" s="231"/>
      <c r="D126" s="229"/>
      <c r="E126" s="228"/>
      <c r="F126" s="194"/>
      <c r="G126" s="194"/>
      <c r="H126" s="237"/>
      <c r="I126" s="233"/>
      <c r="J126" s="196"/>
      <c r="K126" s="196"/>
      <c r="L126" s="196"/>
      <c r="M126" s="198"/>
      <c r="N126" s="188"/>
      <c r="O126" s="187"/>
      <c r="P126" s="156"/>
      <c r="Q126" s="157"/>
      <c r="R126" s="157"/>
      <c r="S126" s="157"/>
      <c r="T126" s="157"/>
      <c r="U126" s="157"/>
      <c r="V126" s="159"/>
    </row>
    <row r="127" spans="1:22" s="158" customFormat="1" ht="24" customHeight="1">
      <c r="A127" s="193"/>
      <c r="B127" s="227"/>
      <c r="C127" s="227"/>
      <c r="D127" s="228"/>
      <c r="E127" s="228"/>
      <c r="F127" s="194"/>
      <c r="G127" s="194"/>
      <c r="H127" s="230"/>
      <c r="I127" s="233"/>
      <c r="J127" s="196"/>
      <c r="K127" s="196"/>
      <c r="L127" s="196"/>
      <c r="M127" s="198"/>
      <c r="N127" s="188"/>
      <c r="O127" s="187"/>
      <c r="P127" s="156"/>
      <c r="Q127" s="157"/>
      <c r="R127" s="157"/>
      <c r="S127" s="157"/>
      <c r="T127" s="157"/>
      <c r="U127" s="157"/>
      <c r="V127" s="159"/>
    </row>
    <row r="128" spans="1:22" s="158" customFormat="1" ht="24" customHeight="1">
      <c r="A128" s="193"/>
      <c r="B128" s="227"/>
      <c r="C128" s="227"/>
      <c r="D128" s="228"/>
      <c r="E128" s="228"/>
      <c r="F128" s="194"/>
      <c r="G128" s="194"/>
      <c r="H128" s="230"/>
      <c r="I128" s="233"/>
      <c r="J128" s="196"/>
      <c r="K128" s="196"/>
      <c r="L128" s="196"/>
      <c r="M128" s="198"/>
      <c r="N128" s="188"/>
      <c r="O128" s="187"/>
      <c r="P128" s="156"/>
      <c r="Q128" s="157"/>
      <c r="R128" s="157"/>
      <c r="S128" s="157"/>
      <c r="T128" s="157"/>
      <c r="U128" s="157"/>
      <c r="V128" s="159"/>
    </row>
    <row r="129" spans="1:22" s="158" customFormat="1" ht="24" customHeight="1">
      <c r="A129" s="193"/>
      <c r="B129" s="226"/>
      <c r="C129" s="231"/>
      <c r="D129" s="228"/>
      <c r="E129" s="228"/>
      <c r="F129" s="194"/>
      <c r="G129" s="194"/>
      <c r="H129" s="230"/>
      <c r="I129" s="233"/>
      <c r="J129" s="196"/>
      <c r="K129" s="196"/>
      <c r="L129" s="196"/>
      <c r="M129" s="198"/>
      <c r="N129" s="188"/>
      <c r="O129" s="187"/>
      <c r="P129" s="156"/>
      <c r="Q129" s="157"/>
      <c r="R129" s="157"/>
      <c r="S129" s="157"/>
      <c r="T129" s="157"/>
      <c r="U129" s="157"/>
      <c r="V129" s="159"/>
    </row>
    <row r="130" spans="1:22" s="158" customFormat="1" ht="24" customHeight="1">
      <c r="A130" s="193"/>
      <c r="B130" s="226"/>
      <c r="C130" s="231"/>
      <c r="D130" s="229"/>
      <c r="E130" s="228"/>
      <c r="F130" s="194"/>
      <c r="G130" s="194"/>
      <c r="H130" s="237"/>
      <c r="I130" s="233"/>
      <c r="J130" s="196"/>
      <c r="K130" s="196"/>
      <c r="L130" s="196"/>
      <c r="M130" s="198"/>
      <c r="N130" s="188"/>
      <c r="O130" s="187"/>
      <c r="P130" s="156"/>
      <c r="Q130" s="157"/>
      <c r="R130" s="157"/>
      <c r="S130" s="157"/>
      <c r="T130" s="157"/>
      <c r="U130" s="157"/>
      <c r="V130" s="159"/>
    </row>
    <row r="131" spans="1:22" s="158" customFormat="1" ht="24" customHeight="1">
      <c r="A131" s="193"/>
      <c r="B131" s="226"/>
      <c r="C131" s="231"/>
      <c r="D131" s="228"/>
      <c r="E131" s="228"/>
      <c r="F131" s="194"/>
      <c r="G131" s="194"/>
      <c r="H131" s="232"/>
      <c r="I131" s="233"/>
      <c r="J131" s="196"/>
      <c r="K131" s="196"/>
      <c r="L131" s="196"/>
      <c r="M131" s="198"/>
      <c r="N131" s="188"/>
      <c r="O131" s="187"/>
      <c r="P131" s="156"/>
      <c r="Q131" s="157"/>
      <c r="R131" s="157"/>
      <c r="S131" s="157"/>
      <c r="T131" s="157"/>
      <c r="U131" s="157"/>
      <c r="V131" s="159"/>
    </row>
    <row r="132" spans="1:22" s="158" customFormat="1" ht="24" customHeight="1">
      <c r="A132" s="306" t="s">
        <v>109</v>
      </c>
      <c r="B132" s="307"/>
      <c r="C132" s="307"/>
      <c r="D132" s="308"/>
      <c r="E132" s="308">
        <f>SUBTOTAL(9,E107:E131)</f>
        <v>0</v>
      </c>
      <c r="F132" s="309"/>
      <c r="G132" s="309"/>
      <c r="H132" s="309"/>
      <c r="I132" s="309"/>
      <c r="J132" s="309"/>
      <c r="K132" s="309"/>
      <c r="L132" s="309"/>
      <c r="M132" s="310"/>
      <c r="N132" s="190"/>
      <c r="O132" s="190"/>
      <c r="P132" s="156"/>
      <c r="Q132" s="157"/>
      <c r="R132" s="157"/>
      <c r="S132" s="157"/>
      <c r="T132" s="157"/>
      <c r="U132" s="157"/>
      <c r="V132" s="157"/>
    </row>
    <row r="133" spans="1:22" s="158" customFormat="1" ht="24" customHeight="1">
      <c r="A133" s="215"/>
      <c r="B133" s="222"/>
      <c r="C133" s="311"/>
      <c r="D133" s="224"/>
      <c r="E133" s="224"/>
      <c r="F133" s="216"/>
      <c r="G133" s="216"/>
      <c r="H133" s="314"/>
      <c r="I133" s="296"/>
      <c r="J133" s="218"/>
      <c r="K133" s="218"/>
      <c r="L133" s="218"/>
      <c r="M133" s="313"/>
      <c r="N133" s="188"/>
      <c r="O133" s="187"/>
      <c r="P133" s="156"/>
      <c r="Q133" s="157"/>
      <c r="R133" s="157"/>
      <c r="S133" s="157"/>
      <c r="T133" s="157"/>
      <c r="U133" s="157"/>
      <c r="V133" s="159"/>
    </row>
    <row r="134" spans="1:22" s="158" customFormat="1" ht="24" customHeight="1">
      <c r="A134" s="193"/>
      <c r="B134" s="226"/>
      <c r="C134" s="231"/>
      <c r="D134" s="228"/>
      <c r="E134" s="228"/>
      <c r="F134" s="194"/>
      <c r="G134" s="194"/>
      <c r="H134" s="232"/>
      <c r="I134" s="233"/>
      <c r="J134" s="196"/>
      <c r="K134" s="196"/>
      <c r="L134" s="196"/>
      <c r="M134" s="198"/>
      <c r="N134" s="188"/>
      <c r="O134" s="187"/>
      <c r="P134" s="156"/>
      <c r="Q134" s="157"/>
      <c r="R134" s="157"/>
      <c r="S134" s="157"/>
      <c r="T134" s="157"/>
      <c r="U134" s="157"/>
      <c r="V134" s="159"/>
    </row>
    <row r="135" spans="1:22" s="158" customFormat="1" ht="24" customHeight="1">
      <c r="A135" s="193"/>
      <c r="B135" s="226"/>
      <c r="C135" s="231"/>
      <c r="D135" s="228"/>
      <c r="E135" s="228"/>
      <c r="F135" s="194"/>
      <c r="G135" s="194"/>
      <c r="H135" s="237"/>
      <c r="I135" s="242"/>
      <c r="J135" s="196"/>
      <c r="K135" s="196"/>
      <c r="L135" s="196"/>
      <c r="M135" s="198"/>
      <c r="N135" s="188"/>
      <c r="O135" s="187"/>
      <c r="P135" s="156"/>
      <c r="Q135" s="157"/>
      <c r="R135" s="157"/>
      <c r="S135" s="157"/>
      <c r="T135" s="157"/>
      <c r="U135" s="157"/>
      <c r="V135" s="159"/>
    </row>
    <row r="136" spans="1:22" s="158" customFormat="1" ht="24" customHeight="1">
      <c r="A136" s="193"/>
      <c r="B136" s="226"/>
      <c r="C136" s="231"/>
      <c r="D136" s="228"/>
      <c r="E136" s="228"/>
      <c r="F136" s="194"/>
      <c r="G136" s="194"/>
      <c r="H136" s="232"/>
      <c r="I136" s="233"/>
      <c r="J136" s="196"/>
      <c r="K136" s="196"/>
      <c r="L136" s="196"/>
      <c r="M136" s="198"/>
      <c r="N136" s="188"/>
      <c r="O136" s="187"/>
      <c r="P136" s="156"/>
      <c r="Q136" s="157"/>
      <c r="R136" s="157"/>
      <c r="S136" s="157"/>
      <c r="T136" s="157"/>
      <c r="U136" s="157"/>
      <c r="V136" s="159"/>
    </row>
    <row r="137" spans="1:22" s="158" customFormat="1" ht="24" customHeight="1">
      <c r="A137" s="193"/>
      <c r="B137" s="226"/>
      <c r="C137" s="231"/>
      <c r="D137" s="228"/>
      <c r="E137" s="228"/>
      <c r="F137" s="194"/>
      <c r="G137" s="194"/>
      <c r="H137" s="237"/>
      <c r="I137" s="242"/>
      <c r="J137" s="196"/>
      <c r="K137" s="196"/>
      <c r="L137" s="196"/>
      <c r="M137" s="198"/>
      <c r="N137" s="188"/>
      <c r="O137" s="187"/>
      <c r="P137" s="156"/>
      <c r="Q137" s="157"/>
      <c r="R137" s="157"/>
      <c r="S137" s="157"/>
      <c r="T137" s="157"/>
      <c r="U137" s="157"/>
      <c r="V137" s="159"/>
    </row>
    <row r="138" spans="1:22" s="158" customFormat="1" ht="24" customHeight="1">
      <c r="A138" s="193"/>
      <c r="B138" s="226"/>
      <c r="C138" s="231"/>
      <c r="D138" s="228"/>
      <c r="E138" s="228"/>
      <c r="F138" s="194"/>
      <c r="G138" s="194"/>
      <c r="H138" s="237"/>
      <c r="I138" s="242"/>
      <c r="J138" s="196"/>
      <c r="K138" s="196"/>
      <c r="L138" s="196"/>
      <c r="M138" s="198"/>
      <c r="N138" s="188"/>
      <c r="O138" s="187"/>
      <c r="P138" s="156"/>
      <c r="Q138" s="157"/>
      <c r="R138" s="157"/>
      <c r="S138" s="157"/>
      <c r="T138" s="157"/>
      <c r="U138" s="157"/>
      <c r="V138" s="159"/>
    </row>
    <row r="139" spans="1:22" s="158" customFormat="1" ht="24" customHeight="1">
      <c r="A139" s="193"/>
      <c r="B139" s="226"/>
      <c r="C139" s="231"/>
      <c r="D139" s="229"/>
      <c r="E139" s="229"/>
      <c r="F139" s="194"/>
      <c r="G139" s="194"/>
      <c r="H139" s="238"/>
      <c r="I139" s="233"/>
      <c r="J139" s="196"/>
      <c r="K139" s="196"/>
      <c r="L139" s="196"/>
      <c r="M139" s="198"/>
      <c r="N139" s="188"/>
      <c r="O139" s="187"/>
      <c r="P139" s="156"/>
      <c r="Q139" s="157"/>
      <c r="R139" s="157"/>
      <c r="S139" s="157"/>
      <c r="T139" s="157"/>
      <c r="U139" s="157"/>
      <c r="V139" s="159"/>
    </row>
    <row r="140" spans="1:22" s="158" customFormat="1" ht="24" customHeight="1">
      <c r="A140" s="193"/>
      <c r="B140" s="226"/>
      <c r="C140" s="231"/>
      <c r="D140" s="229"/>
      <c r="E140" s="229"/>
      <c r="F140" s="194"/>
      <c r="G140" s="194"/>
      <c r="H140" s="238"/>
      <c r="I140" s="233"/>
      <c r="J140" s="196"/>
      <c r="K140" s="196"/>
      <c r="L140" s="196"/>
      <c r="M140" s="198"/>
      <c r="N140" s="188"/>
      <c r="O140" s="187"/>
      <c r="P140" s="156"/>
      <c r="Q140" s="157"/>
      <c r="R140" s="157"/>
      <c r="S140" s="157"/>
      <c r="T140" s="157"/>
      <c r="U140" s="157"/>
      <c r="V140" s="159"/>
    </row>
    <row r="141" spans="1:22" s="158" customFormat="1" ht="24" customHeight="1">
      <c r="A141" s="193"/>
      <c r="B141" s="226"/>
      <c r="C141" s="231"/>
      <c r="D141" s="229"/>
      <c r="E141" s="229"/>
      <c r="F141" s="194"/>
      <c r="G141" s="194"/>
      <c r="H141" s="238"/>
      <c r="I141" s="233"/>
      <c r="J141" s="196"/>
      <c r="K141" s="196"/>
      <c r="L141" s="196"/>
      <c r="M141" s="198"/>
      <c r="N141" s="188"/>
      <c r="O141" s="187"/>
      <c r="P141" s="156"/>
      <c r="Q141" s="157"/>
      <c r="R141" s="157"/>
      <c r="S141" s="157"/>
      <c r="T141" s="157"/>
      <c r="U141" s="157"/>
      <c r="V141" s="159"/>
    </row>
    <row r="142" spans="1:22" s="158" customFormat="1" ht="24" customHeight="1">
      <c r="A142" s="193"/>
      <c r="B142" s="227"/>
      <c r="C142" s="227"/>
      <c r="D142" s="229"/>
      <c r="E142" s="229"/>
      <c r="F142" s="194"/>
      <c r="G142" s="194"/>
      <c r="H142" s="237"/>
      <c r="I142" s="242"/>
      <c r="J142" s="196"/>
      <c r="K142" s="196"/>
      <c r="L142" s="196"/>
      <c r="M142" s="198"/>
      <c r="N142" s="188"/>
      <c r="O142" s="187"/>
      <c r="P142" s="156"/>
      <c r="Q142" s="157"/>
      <c r="R142" s="157"/>
      <c r="S142" s="157"/>
      <c r="T142" s="157"/>
      <c r="U142" s="157"/>
      <c r="V142" s="159"/>
    </row>
    <row r="143" spans="1:22" s="158" customFormat="1" ht="24" customHeight="1">
      <c r="A143" s="193"/>
      <c r="B143" s="227"/>
      <c r="C143" s="227"/>
      <c r="D143" s="228"/>
      <c r="E143" s="228"/>
      <c r="F143" s="194"/>
      <c r="G143" s="194"/>
      <c r="H143" s="230"/>
      <c r="I143" s="233"/>
      <c r="J143" s="196"/>
      <c r="K143" s="196"/>
      <c r="L143" s="196"/>
      <c r="M143" s="198"/>
      <c r="N143" s="188"/>
      <c r="O143" s="187"/>
      <c r="P143" s="156"/>
      <c r="Q143" s="157"/>
      <c r="R143" s="157"/>
      <c r="S143" s="157"/>
      <c r="T143" s="157"/>
      <c r="U143" s="157"/>
      <c r="V143" s="159"/>
    </row>
    <row r="144" spans="1:22" s="158" customFormat="1" ht="24" customHeight="1">
      <c r="A144" s="193"/>
      <c r="B144" s="227"/>
      <c r="C144" s="227"/>
      <c r="D144" s="228"/>
      <c r="E144" s="228"/>
      <c r="F144" s="194"/>
      <c r="G144" s="194"/>
      <c r="H144" s="230"/>
      <c r="I144" s="233"/>
      <c r="J144" s="196"/>
      <c r="K144" s="196"/>
      <c r="L144" s="196"/>
      <c r="M144" s="198"/>
      <c r="N144" s="188"/>
      <c r="O144" s="187"/>
      <c r="P144" s="156"/>
      <c r="Q144" s="157"/>
      <c r="R144" s="157"/>
      <c r="S144" s="157"/>
      <c r="T144" s="157"/>
      <c r="U144" s="157"/>
      <c r="V144" s="159"/>
    </row>
    <row r="145" spans="1:22" s="158" customFormat="1" ht="24" customHeight="1">
      <c r="A145" s="193"/>
      <c r="B145" s="227"/>
      <c r="C145" s="227"/>
      <c r="D145" s="229"/>
      <c r="E145" s="228"/>
      <c r="F145" s="194"/>
      <c r="G145" s="194"/>
      <c r="H145" s="230"/>
      <c r="I145" s="242"/>
      <c r="J145" s="196"/>
      <c r="K145" s="196"/>
      <c r="L145" s="196"/>
      <c r="M145" s="198"/>
      <c r="N145" s="188"/>
      <c r="O145" s="187"/>
      <c r="P145" s="156"/>
      <c r="Q145" s="157"/>
      <c r="R145" s="157"/>
      <c r="S145" s="157"/>
      <c r="T145" s="157"/>
      <c r="U145" s="157"/>
      <c r="V145" s="159"/>
    </row>
    <row r="146" spans="1:22" s="158" customFormat="1" ht="24" customHeight="1">
      <c r="A146" s="193"/>
      <c r="B146" s="227"/>
      <c r="C146" s="227"/>
      <c r="D146" s="228"/>
      <c r="E146" s="228"/>
      <c r="F146" s="194"/>
      <c r="G146" s="194"/>
      <c r="H146" s="230"/>
      <c r="I146" s="242"/>
      <c r="J146" s="196"/>
      <c r="K146" s="196"/>
      <c r="L146" s="196"/>
      <c r="M146" s="198"/>
      <c r="N146" s="188"/>
      <c r="O146" s="187"/>
      <c r="P146" s="156"/>
      <c r="Q146" s="157"/>
      <c r="R146" s="157"/>
      <c r="S146" s="157"/>
      <c r="T146" s="157"/>
      <c r="U146" s="157"/>
      <c r="V146" s="159"/>
    </row>
    <row r="147" spans="1:22" s="158" customFormat="1" ht="24" customHeight="1">
      <c r="A147" s="193"/>
      <c r="B147" s="227"/>
      <c r="C147" s="227"/>
      <c r="D147" s="228"/>
      <c r="E147" s="228"/>
      <c r="F147" s="194"/>
      <c r="G147" s="194"/>
      <c r="H147" s="230"/>
      <c r="I147" s="242"/>
      <c r="J147" s="196"/>
      <c r="K147" s="196"/>
      <c r="L147" s="196"/>
      <c r="M147" s="198"/>
      <c r="N147" s="188"/>
      <c r="O147" s="187"/>
      <c r="P147" s="156"/>
      <c r="Q147" s="157"/>
      <c r="R147" s="157"/>
      <c r="S147" s="157"/>
      <c r="T147" s="157"/>
      <c r="U147" s="157"/>
      <c r="V147" s="159"/>
    </row>
    <row r="148" spans="1:22" s="158" customFormat="1" ht="24" customHeight="1">
      <c r="A148" s="193"/>
      <c r="B148" s="227"/>
      <c r="C148" s="227"/>
      <c r="D148" s="228"/>
      <c r="E148" s="228"/>
      <c r="F148" s="194"/>
      <c r="G148" s="194"/>
      <c r="H148" s="230"/>
      <c r="I148" s="242"/>
      <c r="J148" s="196"/>
      <c r="K148" s="196"/>
      <c r="L148" s="196"/>
      <c r="M148" s="198"/>
      <c r="N148" s="188"/>
      <c r="O148" s="187"/>
      <c r="P148" s="156"/>
      <c r="Q148" s="157"/>
      <c r="R148" s="157"/>
      <c r="S148" s="157"/>
      <c r="T148" s="157"/>
      <c r="U148" s="157"/>
      <c r="V148" s="159"/>
    </row>
    <row r="149" spans="1:22" s="158" customFormat="1" ht="24" customHeight="1">
      <c r="A149" s="193"/>
      <c r="B149" s="227"/>
      <c r="C149" s="227"/>
      <c r="D149" s="228"/>
      <c r="E149" s="228"/>
      <c r="F149" s="194"/>
      <c r="G149" s="194"/>
      <c r="H149" s="230"/>
      <c r="I149" s="242"/>
      <c r="J149" s="196"/>
      <c r="K149" s="196"/>
      <c r="L149" s="196"/>
      <c r="M149" s="198"/>
      <c r="N149" s="188"/>
      <c r="O149" s="187"/>
      <c r="P149" s="156"/>
      <c r="Q149" s="157"/>
      <c r="R149" s="157"/>
      <c r="S149" s="157"/>
      <c r="T149" s="157"/>
      <c r="U149" s="157"/>
      <c r="V149" s="159"/>
    </row>
    <row r="150" spans="1:22" s="158" customFormat="1" ht="24" customHeight="1">
      <c r="A150" s="193"/>
      <c r="B150" s="227"/>
      <c r="C150" s="227"/>
      <c r="D150" s="228"/>
      <c r="E150" s="228"/>
      <c r="F150" s="194"/>
      <c r="G150" s="194"/>
      <c r="H150" s="230"/>
      <c r="I150" s="242"/>
      <c r="J150" s="196"/>
      <c r="K150" s="196"/>
      <c r="L150" s="196"/>
      <c r="M150" s="198"/>
      <c r="N150" s="188"/>
      <c r="O150" s="187"/>
      <c r="P150" s="156"/>
      <c r="Q150" s="157"/>
      <c r="R150" s="157"/>
      <c r="S150" s="157"/>
      <c r="T150" s="157"/>
      <c r="U150" s="157"/>
      <c r="V150" s="159"/>
    </row>
    <row r="151" spans="1:22" s="158" customFormat="1" ht="24" customHeight="1">
      <c r="A151" s="193"/>
      <c r="B151" s="227"/>
      <c r="C151" s="227"/>
      <c r="D151" s="228"/>
      <c r="E151" s="228"/>
      <c r="F151" s="194"/>
      <c r="G151" s="194"/>
      <c r="H151" s="230"/>
      <c r="I151" s="242"/>
      <c r="J151" s="196"/>
      <c r="K151" s="196"/>
      <c r="L151" s="196"/>
      <c r="M151" s="198"/>
      <c r="N151" s="188"/>
      <c r="O151" s="187"/>
      <c r="P151" s="156"/>
      <c r="Q151" s="157"/>
      <c r="R151" s="157"/>
      <c r="S151" s="157"/>
      <c r="T151" s="157"/>
      <c r="U151" s="157"/>
      <c r="V151" s="159"/>
    </row>
    <row r="152" spans="1:22" s="158" customFormat="1" ht="24" customHeight="1">
      <c r="A152" s="193"/>
      <c r="B152" s="227"/>
      <c r="C152" s="227"/>
      <c r="D152" s="228"/>
      <c r="E152" s="228"/>
      <c r="F152" s="194"/>
      <c r="G152" s="194"/>
      <c r="H152" s="230"/>
      <c r="I152" s="242"/>
      <c r="J152" s="196"/>
      <c r="K152" s="196"/>
      <c r="L152" s="196"/>
      <c r="M152" s="198"/>
      <c r="N152" s="188"/>
      <c r="O152" s="187"/>
      <c r="P152" s="156"/>
      <c r="Q152" s="157"/>
      <c r="R152" s="157"/>
      <c r="S152" s="157"/>
      <c r="T152" s="157"/>
      <c r="U152" s="157"/>
      <c r="V152" s="159"/>
    </row>
    <row r="153" spans="1:22" s="158" customFormat="1" ht="24" customHeight="1">
      <c r="A153" s="193"/>
      <c r="B153" s="226"/>
      <c r="C153" s="231"/>
      <c r="D153" s="228"/>
      <c r="E153" s="228"/>
      <c r="F153" s="194"/>
      <c r="G153" s="194"/>
      <c r="H153" s="234"/>
      <c r="I153" s="233"/>
      <c r="J153" s="196"/>
      <c r="K153" s="196"/>
      <c r="L153" s="196"/>
      <c r="M153" s="198"/>
      <c r="N153" s="188"/>
      <c r="O153" s="187"/>
      <c r="P153" s="156"/>
      <c r="Q153" s="157"/>
      <c r="R153" s="157"/>
      <c r="S153" s="157"/>
      <c r="T153" s="157"/>
      <c r="U153" s="157"/>
      <c r="V153" s="159"/>
    </row>
    <row r="154" spans="1:22" s="158" customFormat="1" ht="24" customHeight="1">
      <c r="A154" s="193"/>
      <c r="B154" s="227"/>
      <c r="C154" s="227"/>
      <c r="D154" s="229"/>
      <c r="E154" s="229"/>
      <c r="F154" s="194"/>
      <c r="G154" s="194"/>
      <c r="H154" s="230"/>
      <c r="I154" s="242"/>
      <c r="J154" s="196"/>
      <c r="K154" s="196"/>
      <c r="L154" s="196"/>
      <c r="M154" s="198"/>
      <c r="N154" s="188"/>
      <c r="O154" s="187"/>
      <c r="P154" s="156"/>
      <c r="Q154" s="157"/>
      <c r="R154" s="157"/>
      <c r="S154" s="157"/>
      <c r="T154" s="157"/>
      <c r="U154" s="157"/>
      <c r="V154" s="159"/>
    </row>
    <row r="155" spans="1:22" s="158" customFormat="1" ht="24" customHeight="1">
      <c r="A155" s="193"/>
      <c r="B155" s="227"/>
      <c r="C155" s="227"/>
      <c r="D155" s="228"/>
      <c r="E155" s="228"/>
      <c r="F155" s="194"/>
      <c r="G155" s="194"/>
      <c r="H155" s="230"/>
      <c r="I155" s="233"/>
      <c r="J155" s="196"/>
      <c r="K155" s="196"/>
      <c r="L155" s="196"/>
      <c r="M155" s="198"/>
      <c r="N155" s="188"/>
      <c r="O155" s="187"/>
      <c r="P155" s="156"/>
      <c r="Q155" s="157"/>
      <c r="R155" s="157"/>
      <c r="S155" s="157"/>
      <c r="T155" s="157"/>
      <c r="U155" s="157"/>
      <c r="V155" s="159"/>
    </row>
    <row r="156" spans="1:22" s="158" customFormat="1" ht="24" customHeight="1">
      <c r="A156" s="193"/>
      <c r="B156" s="226"/>
      <c r="C156" s="231"/>
      <c r="D156" s="229"/>
      <c r="E156" s="228"/>
      <c r="F156" s="194"/>
      <c r="G156" s="194"/>
      <c r="H156" s="237"/>
      <c r="I156" s="233"/>
      <c r="J156" s="196"/>
      <c r="K156" s="196"/>
      <c r="L156" s="196"/>
      <c r="M156" s="198"/>
      <c r="N156" s="188"/>
      <c r="O156" s="187"/>
      <c r="P156" s="156"/>
      <c r="Q156" s="157"/>
      <c r="R156" s="157"/>
      <c r="S156" s="157"/>
      <c r="T156" s="157"/>
      <c r="U156" s="157"/>
      <c r="V156" s="159"/>
    </row>
    <row r="157" spans="1:22" s="158" customFormat="1" ht="24" customHeight="1">
      <c r="A157" s="193"/>
      <c r="B157" s="226"/>
      <c r="C157" s="231"/>
      <c r="D157" s="228"/>
      <c r="E157" s="228"/>
      <c r="F157" s="194"/>
      <c r="G157" s="194"/>
      <c r="H157" s="230"/>
      <c r="I157" s="233"/>
      <c r="J157" s="196"/>
      <c r="K157" s="196"/>
      <c r="L157" s="196"/>
      <c r="M157" s="198"/>
      <c r="N157" s="188"/>
      <c r="O157" s="187"/>
      <c r="P157" s="156"/>
      <c r="Q157" s="157"/>
      <c r="R157" s="157"/>
      <c r="S157" s="157"/>
      <c r="T157" s="157"/>
      <c r="U157" s="157"/>
      <c r="V157" s="159"/>
    </row>
    <row r="158" spans="1:22" s="158" customFormat="1" ht="24" customHeight="1">
      <c r="A158" s="306" t="s">
        <v>109</v>
      </c>
      <c r="B158" s="307"/>
      <c r="C158" s="307"/>
      <c r="D158" s="308"/>
      <c r="E158" s="308">
        <f>SUBTOTAL(9,E133:E157)</f>
        <v>0</v>
      </c>
      <c r="F158" s="309"/>
      <c r="G158" s="309"/>
      <c r="H158" s="309"/>
      <c r="I158" s="309"/>
      <c r="J158" s="309"/>
      <c r="K158" s="309"/>
      <c r="L158" s="309"/>
      <c r="M158" s="310"/>
      <c r="N158" s="190"/>
      <c r="O158" s="190"/>
      <c r="P158" s="156"/>
      <c r="Q158" s="157"/>
      <c r="R158" s="157"/>
      <c r="S158" s="157"/>
      <c r="T158" s="157"/>
      <c r="U158" s="157"/>
      <c r="V158" s="157"/>
    </row>
    <row r="159" spans="1:22" s="158" customFormat="1" ht="24" customHeight="1">
      <c r="A159" s="215"/>
      <c r="B159" s="222"/>
      <c r="C159" s="311"/>
      <c r="D159" s="224"/>
      <c r="E159" s="224"/>
      <c r="F159" s="216"/>
      <c r="G159" s="216"/>
      <c r="H159" s="225"/>
      <c r="I159" s="296"/>
      <c r="J159" s="218"/>
      <c r="K159" s="218"/>
      <c r="L159" s="218"/>
      <c r="M159" s="313"/>
      <c r="N159" s="188"/>
      <c r="O159" s="187"/>
      <c r="P159" s="156"/>
      <c r="Q159" s="157"/>
      <c r="R159" s="157"/>
      <c r="S159" s="157"/>
      <c r="T159" s="157"/>
      <c r="U159" s="157"/>
      <c r="V159" s="159"/>
    </row>
    <row r="160" spans="1:22" s="158" customFormat="1" ht="24" customHeight="1">
      <c r="A160" s="193"/>
      <c r="B160" s="226"/>
      <c r="C160" s="231"/>
      <c r="D160" s="228"/>
      <c r="E160" s="228"/>
      <c r="F160" s="194"/>
      <c r="G160" s="194"/>
      <c r="H160" s="237"/>
      <c r="I160" s="233"/>
      <c r="J160" s="196"/>
      <c r="K160" s="196"/>
      <c r="L160" s="196"/>
      <c r="M160" s="198"/>
      <c r="N160" s="188"/>
      <c r="O160" s="187"/>
      <c r="P160" s="156"/>
      <c r="Q160" s="157"/>
      <c r="R160" s="157"/>
      <c r="S160" s="157"/>
      <c r="T160" s="157"/>
      <c r="U160" s="157"/>
      <c r="V160" s="159"/>
    </row>
    <row r="161" spans="1:22" s="158" customFormat="1" ht="24" customHeight="1">
      <c r="A161" s="193"/>
      <c r="B161" s="226"/>
      <c r="C161" s="231"/>
      <c r="D161" s="229"/>
      <c r="E161" s="228"/>
      <c r="F161" s="194"/>
      <c r="G161" s="194"/>
      <c r="H161" s="234"/>
      <c r="I161" s="242"/>
      <c r="J161" s="196"/>
      <c r="K161" s="196"/>
      <c r="L161" s="196"/>
      <c r="M161" s="198"/>
      <c r="N161" s="188"/>
      <c r="O161" s="187"/>
      <c r="P161" s="156"/>
      <c r="Q161" s="157"/>
      <c r="R161" s="157"/>
      <c r="S161" s="157"/>
      <c r="T161" s="157"/>
      <c r="U161" s="157"/>
      <c r="V161" s="159"/>
    </row>
    <row r="162" spans="1:22" s="158" customFormat="1" ht="24" customHeight="1">
      <c r="A162" s="193"/>
      <c r="B162" s="226"/>
      <c r="C162" s="231"/>
      <c r="D162" s="228"/>
      <c r="E162" s="228"/>
      <c r="F162" s="194"/>
      <c r="G162" s="194"/>
      <c r="H162" s="230"/>
      <c r="I162" s="242"/>
      <c r="J162" s="196"/>
      <c r="K162" s="196"/>
      <c r="L162" s="196"/>
      <c r="M162" s="198"/>
      <c r="N162" s="188"/>
      <c r="O162" s="187"/>
      <c r="P162" s="156"/>
      <c r="Q162" s="157"/>
      <c r="R162" s="157"/>
      <c r="S162" s="157"/>
      <c r="T162" s="157"/>
      <c r="U162" s="157"/>
      <c r="V162" s="159"/>
    </row>
    <row r="163" spans="1:22" s="158" customFormat="1" ht="24" customHeight="1">
      <c r="A163" s="193"/>
      <c r="B163" s="241"/>
      <c r="C163" s="231"/>
      <c r="D163" s="228"/>
      <c r="E163" s="228"/>
      <c r="F163" s="194"/>
      <c r="G163" s="194"/>
      <c r="H163" s="230"/>
      <c r="I163" s="242"/>
      <c r="J163" s="196"/>
      <c r="K163" s="196"/>
      <c r="L163" s="196"/>
      <c r="M163" s="198"/>
      <c r="N163" s="188"/>
      <c r="O163" s="187"/>
      <c r="P163" s="156"/>
      <c r="Q163" s="157"/>
      <c r="R163" s="157"/>
      <c r="S163" s="157"/>
      <c r="T163" s="157"/>
      <c r="U163" s="157"/>
      <c r="V163" s="159"/>
    </row>
    <row r="164" spans="1:22" s="158" customFormat="1" ht="24" customHeight="1">
      <c r="A164" s="193"/>
      <c r="B164" s="231"/>
      <c r="C164" s="231"/>
      <c r="D164" s="228"/>
      <c r="E164" s="228"/>
      <c r="F164" s="194"/>
      <c r="G164" s="194"/>
      <c r="H164" s="237"/>
      <c r="I164" s="233"/>
      <c r="J164" s="196"/>
      <c r="K164" s="196"/>
      <c r="L164" s="196"/>
      <c r="M164" s="198"/>
      <c r="N164" s="188"/>
      <c r="O164" s="187"/>
      <c r="P164" s="156"/>
      <c r="Q164" s="157"/>
      <c r="R164" s="157"/>
      <c r="S164" s="157"/>
      <c r="T164" s="157"/>
      <c r="U164" s="157"/>
      <c r="V164" s="159"/>
    </row>
    <row r="165" spans="1:22" s="158" customFormat="1" ht="24" customHeight="1">
      <c r="A165" s="193"/>
      <c r="B165" s="231"/>
      <c r="C165" s="231"/>
      <c r="D165" s="228"/>
      <c r="E165" s="228"/>
      <c r="F165" s="194"/>
      <c r="G165" s="194"/>
      <c r="H165" s="232"/>
      <c r="I165" s="233"/>
      <c r="J165" s="196"/>
      <c r="K165" s="196"/>
      <c r="L165" s="196"/>
      <c r="M165" s="198"/>
      <c r="N165" s="188"/>
      <c r="O165" s="187"/>
      <c r="P165" s="156"/>
      <c r="Q165" s="157"/>
      <c r="R165" s="157"/>
      <c r="S165" s="157"/>
      <c r="T165" s="157"/>
      <c r="U165" s="157"/>
      <c r="V165" s="159"/>
    </row>
    <row r="166" spans="1:22" s="158" customFormat="1" ht="24" customHeight="1">
      <c r="A166" s="193"/>
      <c r="B166" s="226"/>
      <c r="C166" s="231"/>
      <c r="D166" s="228"/>
      <c r="E166" s="228"/>
      <c r="F166" s="194"/>
      <c r="G166" s="194"/>
      <c r="H166" s="237"/>
      <c r="I166" s="242"/>
      <c r="J166" s="196"/>
      <c r="K166" s="196"/>
      <c r="L166" s="196"/>
      <c r="M166" s="198"/>
      <c r="N166" s="188"/>
      <c r="O166" s="187"/>
      <c r="P166" s="156"/>
      <c r="Q166" s="157"/>
      <c r="R166" s="157"/>
      <c r="S166" s="157"/>
      <c r="T166" s="157"/>
      <c r="U166" s="157"/>
      <c r="V166" s="159"/>
    </row>
    <row r="167" spans="1:22" s="158" customFormat="1" ht="24" customHeight="1">
      <c r="A167" s="193"/>
      <c r="B167" s="226"/>
      <c r="C167" s="231"/>
      <c r="D167" s="228"/>
      <c r="E167" s="228"/>
      <c r="F167" s="194"/>
      <c r="G167" s="194"/>
      <c r="H167" s="237"/>
      <c r="I167" s="242"/>
      <c r="J167" s="196"/>
      <c r="K167" s="196"/>
      <c r="L167" s="196"/>
      <c r="M167" s="198"/>
      <c r="N167" s="188"/>
      <c r="O167" s="187"/>
      <c r="P167" s="156"/>
      <c r="Q167" s="157"/>
      <c r="R167" s="157"/>
      <c r="S167" s="157"/>
      <c r="T167" s="157"/>
      <c r="U167" s="157"/>
      <c r="V167" s="159"/>
    </row>
    <row r="168" spans="1:22" s="158" customFormat="1" ht="24" customHeight="1">
      <c r="A168" s="193"/>
      <c r="B168" s="226"/>
      <c r="C168" s="231"/>
      <c r="D168" s="228"/>
      <c r="E168" s="228"/>
      <c r="F168" s="194"/>
      <c r="G168" s="194"/>
      <c r="H168" s="237"/>
      <c r="I168" s="233"/>
      <c r="J168" s="196"/>
      <c r="K168" s="196"/>
      <c r="L168" s="196"/>
      <c r="M168" s="198"/>
      <c r="N168" s="188"/>
      <c r="O168" s="187"/>
      <c r="P168" s="156"/>
      <c r="Q168" s="157"/>
      <c r="R168" s="157"/>
      <c r="S168" s="157"/>
      <c r="T168" s="157"/>
      <c r="U168" s="157"/>
      <c r="V168" s="159"/>
    </row>
    <row r="169" spans="1:22" s="158" customFormat="1" ht="24" customHeight="1">
      <c r="A169" s="193"/>
      <c r="B169" s="227"/>
      <c r="C169" s="227"/>
      <c r="D169" s="228"/>
      <c r="E169" s="228"/>
      <c r="F169" s="194"/>
      <c r="G169" s="194"/>
      <c r="H169" s="230"/>
      <c r="I169" s="233"/>
      <c r="J169" s="196"/>
      <c r="K169" s="196"/>
      <c r="L169" s="196"/>
      <c r="M169" s="198"/>
      <c r="N169" s="188"/>
      <c r="O169" s="187"/>
      <c r="P169" s="156"/>
      <c r="Q169" s="157"/>
      <c r="R169" s="157"/>
      <c r="S169" s="157"/>
      <c r="T169" s="157"/>
      <c r="U169" s="157"/>
      <c r="V169" s="159"/>
    </row>
    <row r="170" spans="1:22" s="158" customFormat="1" ht="24" customHeight="1">
      <c r="A170" s="193"/>
      <c r="B170" s="226"/>
      <c r="C170" s="231"/>
      <c r="D170" s="228"/>
      <c r="E170" s="228"/>
      <c r="F170" s="194"/>
      <c r="G170" s="194"/>
      <c r="H170" s="237"/>
      <c r="I170" s="242"/>
      <c r="J170" s="196"/>
      <c r="K170" s="196"/>
      <c r="L170" s="196"/>
      <c r="M170" s="198"/>
      <c r="N170" s="188"/>
      <c r="O170" s="187"/>
      <c r="P170" s="156"/>
      <c r="Q170" s="157"/>
      <c r="R170" s="157"/>
      <c r="S170" s="157"/>
      <c r="T170" s="157"/>
      <c r="U170" s="157"/>
      <c r="V170" s="159"/>
    </row>
    <row r="171" spans="1:22" s="158" customFormat="1" ht="24" customHeight="1">
      <c r="A171" s="193"/>
      <c r="B171" s="226"/>
      <c r="C171" s="231"/>
      <c r="D171" s="228"/>
      <c r="E171" s="228"/>
      <c r="F171" s="194"/>
      <c r="G171" s="194"/>
      <c r="H171" s="230"/>
      <c r="I171" s="233"/>
      <c r="J171" s="196"/>
      <c r="K171" s="196"/>
      <c r="L171" s="196"/>
      <c r="M171" s="198"/>
      <c r="N171" s="188"/>
      <c r="O171" s="187"/>
      <c r="P171" s="156"/>
      <c r="Q171" s="157"/>
      <c r="R171" s="157"/>
      <c r="S171" s="157"/>
      <c r="T171" s="157"/>
      <c r="U171" s="157"/>
      <c r="V171" s="159"/>
    </row>
    <row r="172" spans="1:22" s="158" customFormat="1" ht="24" customHeight="1">
      <c r="A172" s="193"/>
      <c r="B172" s="227"/>
      <c r="C172" s="227"/>
      <c r="D172" s="229"/>
      <c r="E172" s="228"/>
      <c r="F172" s="194"/>
      <c r="G172" s="194"/>
      <c r="H172" s="230"/>
      <c r="I172" s="233"/>
      <c r="J172" s="196"/>
      <c r="K172" s="196"/>
      <c r="L172" s="196"/>
      <c r="M172" s="198"/>
      <c r="N172" s="188"/>
      <c r="O172" s="187"/>
      <c r="P172" s="156"/>
      <c r="Q172" s="157"/>
      <c r="R172" s="157"/>
      <c r="S172" s="157"/>
      <c r="T172" s="157"/>
      <c r="U172" s="157"/>
      <c r="V172" s="159"/>
    </row>
    <row r="173" spans="1:22" s="158" customFormat="1" ht="24" customHeight="1">
      <c r="A173" s="193"/>
      <c r="B173" s="227"/>
      <c r="C173" s="227"/>
      <c r="D173" s="229"/>
      <c r="E173" s="228"/>
      <c r="F173" s="194"/>
      <c r="G173" s="194"/>
      <c r="H173" s="230"/>
      <c r="I173" s="233"/>
      <c r="J173" s="196"/>
      <c r="K173" s="196"/>
      <c r="L173" s="196"/>
      <c r="M173" s="198"/>
      <c r="N173" s="188"/>
      <c r="O173" s="187"/>
      <c r="P173" s="156"/>
      <c r="Q173" s="157"/>
      <c r="R173" s="157"/>
      <c r="S173" s="157"/>
      <c r="T173" s="157"/>
      <c r="U173" s="157"/>
      <c r="V173" s="159"/>
    </row>
    <row r="174" spans="1:22" s="158" customFormat="1" ht="24" customHeight="1">
      <c r="A174" s="193"/>
      <c r="B174" s="227"/>
      <c r="C174" s="227"/>
      <c r="D174" s="229"/>
      <c r="E174" s="228"/>
      <c r="F174" s="194"/>
      <c r="G174" s="194"/>
      <c r="H174" s="230"/>
      <c r="I174" s="233"/>
      <c r="J174" s="196"/>
      <c r="K174" s="196"/>
      <c r="L174" s="196"/>
      <c r="M174" s="198"/>
      <c r="N174" s="188"/>
      <c r="O174" s="187"/>
      <c r="P174" s="156"/>
      <c r="Q174" s="157"/>
      <c r="R174" s="157"/>
      <c r="S174" s="157"/>
      <c r="T174" s="157"/>
      <c r="U174" s="157"/>
      <c r="V174" s="159"/>
    </row>
    <row r="175" spans="1:22" s="158" customFormat="1" ht="24" customHeight="1">
      <c r="A175" s="193"/>
      <c r="B175" s="227"/>
      <c r="C175" s="227"/>
      <c r="D175" s="229"/>
      <c r="E175" s="228"/>
      <c r="F175" s="194"/>
      <c r="G175" s="194"/>
      <c r="H175" s="230"/>
      <c r="I175" s="233"/>
      <c r="J175" s="196"/>
      <c r="K175" s="196"/>
      <c r="L175" s="196"/>
      <c r="M175" s="198"/>
      <c r="N175" s="188"/>
      <c r="O175" s="187"/>
      <c r="P175" s="156"/>
      <c r="Q175" s="157"/>
      <c r="R175" s="157"/>
      <c r="S175" s="157"/>
      <c r="T175" s="157"/>
      <c r="U175" s="157"/>
      <c r="V175" s="159"/>
    </row>
    <row r="176" spans="1:22" s="158" customFormat="1" ht="24" customHeight="1">
      <c r="A176" s="193"/>
      <c r="B176" s="227"/>
      <c r="C176" s="227"/>
      <c r="D176" s="229"/>
      <c r="E176" s="228"/>
      <c r="F176" s="194"/>
      <c r="G176" s="194"/>
      <c r="H176" s="230"/>
      <c r="I176" s="233"/>
      <c r="J176" s="196"/>
      <c r="K176" s="196"/>
      <c r="L176" s="196"/>
      <c r="M176" s="198"/>
      <c r="N176" s="188"/>
      <c r="O176" s="187"/>
      <c r="P176" s="156"/>
      <c r="Q176" s="157"/>
      <c r="R176" s="157"/>
      <c r="S176" s="157"/>
      <c r="T176" s="157"/>
      <c r="U176" s="157"/>
      <c r="V176" s="159"/>
    </row>
    <row r="177" spans="1:25" s="158" customFormat="1" ht="24" customHeight="1">
      <c r="A177" s="193"/>
      <c r="B177" s="227"/>
      <c r="C177" s="227"/>
      <c r="D177" s="229"/>
      <c r="E177" s="228"/>
      <c r="F177" s="194"/>
      <c r="G177" s="194"/>
      <c r="H177" s="230"/>
      <c r="I177" s="233"/>
      <c r="J177" s="196"/>
      <c r="K177" s="196"/>
      <c r="L177" s="196"/>
      <c r="M177" s="198"/>
      <c r="N177" s="188"/>
      <c r="O177" s="187"/>
      <c r="P177" s="156"/>
      <c r="Q177" s="157"/>
      <c r="R177" s="157"/>
      <c r="S177" s="157"/>
      <c r="T177" s="157"/>
      <c r="U177" s="157"/>
      <c r="V177" s="159"/>
    </row>
    <row r="178" spans="1:25" s="158" customFormat="1" ht="24" customHeight="1">
      <c r="A178" s="193"/>
      <c r="B178" s="227"/>
      <c r="C178" s="227"/>
      <c r="D178" s="228"/>
      <c r="E178" s="228"/>
      <c r="F178" s="194"/>
      <c r="G178" s="194"/>
      <c r="H178" s="230"/>
      <c r="I178" s="233"/>
      <c r="J178" s="196"/>
      <c r="K178" s="196"/>
      <c r="L178" s="196"/>
      <c r="M178" s="198"/>
      <c r="N178" s="188"/>
      <c r="O178" s="187"/>
      <c r="P178" s="156"/>
      <c r="Q178" s="157"/>
      <c r="R178" s="157"/>
      <c r="S178" s="157"/>
      <c r="T178" s="157"/>
      <c r="U178" s="157"/>
      <c r="V178" s="159"/>
    </row>
    <row r="179" spans="1:25" s="158" customFormat="1" ht="24" customHeight="1">
      <c r="A179" s="193"/>
      <c r="B179" s="231"/>
      <c r="C179" s="231"/>
      <c r="D179" s="228"/>
      <c r="E179" s="228"/>
      <c r="F179" s="194"/>
      <c r="G179" s="194"/>
      <c r="H179" s="230"/>
      <c r="I179" s="242"/>
      <c r="J179" s="196"/>
      <c r="K179" s="196"/>
      <c r="L179" s="196"/>
      <c r="M179" s="198"/>
      <c r="N179" s="188"/>
      <c r="O179" s="187"/>
      <c r="P179" s="156"/>
      <c r="Q179" s="157"/>
      <c r="R179" s="157"/>
      <c r="S179" s="157"/>
      <c r="T179" s="157"/>
      <c r="U179" s="157"/>
      <c r="V179" s="159"/>
    </row>
    <row r="180" spans="1:25" s="158" customFormat="1" ht="24" customHeight="1">
      <c r="A180" s="193"/>
      <c r="B180" s="231"/>
      <c r="C180" s="231"/>
      <c r="D180" s="228"/>
      <c r="E180" s="228"/>
      <c r="F180" s="194"/>
      <c r="G180" s="194"/>
      <c r="H180" s="232"/>
      <c r="I180" s="233"/>
      <c r="J180" s="196"/>
      <c r="K180" s="196"/>
      <c r="L180" s="196"/>
      <c r="M180" s="198"/>
      <c r="N180" s="188"/>
      <c r="O180" s="187"/>
      <c r="P180" s="156"/>
      <c r="Q180" s="157"/>
      <c r="R180" s="157"/>
      <c r="S180" s="157"/>
      <c r="T180" s="157"/>
      <c r="U180" s="157"/>
      <c r="V180" s="159"/>
    </row>
    <row r="181" spans="1:25" s="158" customFormat="1" ht="24" customHeight="1">
      <c r="A181" s="193"/>
      <c r="B181" s="226"/>
      <c r="C181" s="231"/>
      <c r="D181" s="228"/>
      <c r="E181" s="228"/>
      <c r="F181" s="194"/>
      <c r="G181" s="194"/>
      <c r="H181" s="232"/>
      <c r="I181" s="233"/>
      <c r="J181" s="196"/>
      <c r="K181" s="196"/>
      <c r="L181" s="196"/>
      <c r="M181" s="198"/>
      <c r="N181" s="188"/>
      <c r="O181" s="187"/>
      <c r="P181" s="156"/>
      <c r="Q181" s="157"/>
      <c r="R181" s="157"/>
      <c r="S181" s="157"/>
      <c r="T181" s="157"/>
      <c r="U181" s="157"/>
      <c r="V181" s="159"/>
    </row>
    <row r="182" spans="1:25" s="158" customFormat="1" ht="24" customHeight="1">
      <c r="A182" s="193"/>
      <c r="B182" s="226"/>
      <c r="C182" s="231"/>
      <c r="D182" s="228"/>
      <c r="E182" s="228"/>
      <c r="F182" s="194"/>
      <c r="G182" s="194"/>
      <c r="H182" s="237"/>
      <c r="I182" s="233"/>
      <c r="J182" s="196"/>
      <c r="K182" s="196"/>
      <c r="L182" s="196"/>
      <c r="M182" s="198"/>
      <c r="N182" s="188"/>
      <c r="O182" s="187"/>
      <c r="P182" s="156"/>
      <c r="Q182" s="157"/>
      <c r="R182" s="157"/>
      <c r="S182" s="157"/>
      <c r="T182" s="157"/>
      <c r="U182" s="157"/>
      <c r="V182" s="159"/>
    </row>
    <row r="183" spans="1:25" s="158" customFormat="1" ht="24" customHeight="1">
      <c r="A183" s="193"/>
      <c r="B183" s="226"/>
      <c r="C183" s="231"/>
      <c r="D183" s="228"/>
      <c r="E183" s="228"/>
      <c r="F183" s="194"/>
      <c r="G183" s="194"/>
      <c r="H183" s="232"/>
      <c r="I183" s="233"/>
      <c r="J183" s="196"/>
      <c r="K183" s="196"/>
      <c r="L183" s="196"/>
      <c r="M183" s="198"/>
      <c r="N183" s="188"/>
      <c r="O183" s="187"/>
      <c r="P183" s="156"/>
      <c r="Q183" s="157"/>
      <c r="R183" s="157"/>
      <c r="S183" s="157"/>
      <c r="T183" s="157"/>
      <c r="U183" s="157"/>
      <c r="V183" s="159"/>
    </row>
    <row r="184" spans="1:25" s="158" customFormat="1" ht="24" customHeight="1">
      <c r="A184" s="306" t="s">
        <v>109</v>
      </c>
      <c r="B184" s="307"/>
      <c r="C184" s="307"/>
      <c r="D184" s="308"/>
      <c r="E184" s="308">
        <f>SUBTOTAL(9,E159:E183)</f>
        <v>0</v>
      </c>
      <c r="F184" s="309"/>
      <c r="G184" s="309"/>
      <c r="H184" s="309"/>
      <c r="I184" s="309"/>
      <c r="J184" s="309"/>
      <c r="K184" s="309"/>
      <c r="L184" s="309"/>
      <c r="M184" s="310"/>
      <c r="N184" s="190"/>
      <c r="O184" s="190"/>
      <c r="P184" s="156"/>
      <c r="Q184" s="157"/>
      <c r="R184" s="157"/>
      <c r="S184" s="157"/>
      <c r="T184" s="157"/>
      <c r="U184" s="157"/>
      <c r="V184" s="157"/>
    </row>
    <row r="185" spans="1:25" s="158" customFormat="1" ht="24" customHeight="1">
      <c r="A185" s="215"/>
      <c r="B185" s="222"/>
      <c r="C185" s="311"/>
      <c r="D185" s="224"/>
      <c r="E185" s="224"/>
      <c r="F185" s="216"/>
      <c r="G185" s="216"/>
      <c r="H185" s="312"/>
      <c r="I185" s="243"/>
      <c r="J185" s="218"/>
      <c r="K185" s="218"/>
      <c r="L185" s="218"/>
      <c r="M185" s="313"/>
      <c r="N185" s="188"/>
      <c r="O185" s="187"/>
      <c r="P185" s="156"/>
      <c r="Q185" s="157"/>
      <c r="R185" s="157"/>
      <c r="S185" s="157"/>
      <c r="T185" s="157"/>
      <c r="U185" s="157"/>
      <c r="V185" s="159"/>
    </row>
    <row r="186" spans="1:25" s="158" customFormat="1" ht="24" customHeight="1">
      <c r="A186" s="193"/>
      <c r="B186" s="231"/>
      <c r="C186" s="227"/>
      <c r="D186" s="228"/>
      <c r="E186" s="228"/>
      <c r="F186" s="194"/>
      <c r="G186" s="194"/>
      <c r="H186" s="240"/>
      <c r="I186" s="233"/>
      <c r="J186" s="196"/>
      <c r="K186" s="196"/>
      <c r="L186" s="196"/>
      <c r="M186" s="198"/>
      <c r="N186" s="188"/>
      <c r="O186" s="187"/>
      <c r="P186" s="156"/>
      <c r="Q186" s="157"/>
      <c r="R186" s="157"/>
      <c r="S186" s="157"/>
      <c r="T186" s="157"/>
      <c r="U186" s="157"/>
      <c r="V186" s="159"/>
    </row>
    <row r="187" spans="1:25" s="158" customFormat="1" ht="24" customHeight="1">
      <c r="A187" s="193"/>
      <c r="B187" s="231"/>
      <c r="C187" s="231"/>
      <c r="D187" s="228"/>
      <c r="E187" s="228"/>
      <c r="F187" s="194"/>
      <c r="G187" s="194"/>
      <c r="H187" s="230"/>
      <c r="I187" s="242"/>
      <c r="J187" s="196"/>
      <c r="K187" s="196"/>
      <c r="L187" s="196"/>
      <c r="M187" s="197"/>
      <c r="N187" s="187"/>
      <c r="O187" s="187"/>
      <c r="P187" s="156"/>
      <c r="Q187" s="157"/>
      <c r="R187" s="157"/>
      <c r="S187" s="157"/>
      <c r="T187" s="157"/>
      <c r="U187" s="157"/>
      <c r="V187" s="160"/>
      <c r="W187" s="157"/>
      <c r="X187" s="157"/>
      <c r="Y187" s="157"/>
    </row>
    <row r="188" spans="1:25" s="158" customFormat="1" ht="24" customHeight="1">
      <c r="A188" s="193"/>
      <c r="B188" s="231"/>
      <c r="C188" s="231"/>
      <c r="D188" s="228"/>
      <c r="E188" s="228"/>
      <c r="F188" s="194"/>
      <c r="G188" s="194"/>
      <c r="H188" s="237"/>
      <c r="I188" s="242"/>
      <c r="J188" s="196"/>
      <c r="K188" s="196"/>
      <c r="L188" s="196"/>
      <c r="M188" s="197"/>
      <c r="N188" s="187"/>
      <c r="O188" s="187"/>
      <c r="P188" s="156"/>
      <c r="Q188" s="157"/>
      <c r="R188" s="157"/>
      <c r="S188" s="157"/>
      <c r="T188" s="157"/>
      <c r="U188" s="157"/>
      <c r="V188" s="157"/>
    </row>
    <row r="189" spans="1:25" s="158" customFormat="1" ht="24" customHeight="1">
      <c r="A189" s="193"/>
      <c r="B189" s="231"/>
      <c r="C189" s="231"/>
      <c r="D189" s="228"/>
      <c r="E189" s="228"/>
      <c r="F189" s="194"/>
      <c r="G189" s="194"/>
      <c r="H189" s="234"/>
      <c r="I189" s="233"/>
      <c r="J189" s="196"/>
      <c r="K189" s="196"/>
      <c r="L189" s="196"/>
      <c r="M189" s="198"/>
      <c r="N189" s="188"/>
      <c r="O189" s="187"/>
      <c r="P189" s="156"/>
      <c r="Q189" s="157"/>
      <c r="R189" s="157"/>
      <c r="S189" s="157"/>
      <c r="T189" s="157"/>
      <c r="U189" s="157"/>
      <c r="V189" s="157"/>
    </row>
    <row r="190" spans="1:25" s="158" customFormat="1" ht="24" customHeight="1">
      <c r="A190" s="193"/>
      <c r="B190" s="231"/>
      <c r="C190" s="231"/>
      <c r="D190" s="228"/>
      <c r="E190" s="228"/>
      <c r="F190" s="194"/>
      <c r="G190" s="194"/>
      <c r="H190" s="232"/>
      <c r="I190" s="242"/>
      <c r="J190" s="196"/>
      <c r="K190" s="196"/>
      <c r="L190" s="196"/>
      <c r="M190" s="198"/>
      <c r="N190" s="188"/>
      <c r="O190" s="187"/>
      <c r="P190" s="156"/>
      <c r="Q190" s="157"/>
      <c r="R190" s="157"/>
      <c r="S190" s="157"/>
      <c r="T190" s="157"/>
      <c r="U190" s="157"/>
      <c r="V190" s="157"/>
    </row>
    <row r="191" spans="1:25" s="158" customFormat="1" ht="24" customHeight="1">
      <c r="A191" s="193"/>
      <c r="B191" s="231"/>
      <c r="C191" s="231"/>
      <c r="D191" s="228"/>
      <c r="E191" s="228"/>
      <c r="F191" s="194"/>
      <c r="G191" s="194"/>
      <c r="H191" s="232"/>
      <c r="I191" s="242"/>
      <c r="J191" s="196"/>
      <c r="K191" s="196"/>
      <c r="L191" s="196"/>
      <c r="M191" s="197"/>
      <c r="N191" s="187"/>
      <c r="O191" s="187"/>
      <c r="P191" s="156"/>
      <c r="Q191" s="157"/>
      <c r="R191" s="157"/>
      <c r="S191" s="157"/>
      <c r="T191" s="157"/>
      <c r="U191" s="157"/>
      <c r="V191" s="157"/>
    </row>
    <row r="192" spans="1:25" s="158" customFormat="1" ht="24" customHeight="1">
      <c r="A192" s="193"/>
      <c r="B192" s="231"/>
      <c r="C192" s="231"/>
      <c r="D192" s="228"/>
      <c r="E192" s="228"/>
      <c r="F192" s="194"/>
      <c r="G192" s="194"/>
      <c r="H192" s="232"/>
      <c r="I192" s="242"/>
      <c r="J192" s="196"/>
      <c r="K192" s="196"/>
      <c r="L192" s="196"/>
      <c r="M192" s="197"/>
      <c r="N192" s="187"/>
      <c r="O192" s="187"/>
      <c r="P192" s="156"/>
      <c r="Q192" s="157"/>
      <c r="R192" s="157"/>
      <c r="S192" s="157"/>
      <c r="T192" s="157"/>
      <c r="U192" s="157"/>
      <c r="V192" s="157"/>
    </row>
    <row r="193" spans="1:22" s="158" customFormat="1" ht="24" customHeight="1">
      <c r="A193" s="193"/>
      <c r="B193" s="231"/>
      <c r="C193" s="231"/>
      <c r="D193" s="228"/>
      <c r="E193" s="228"/>
      <c r="F193" s="194"/>
      <c r="G193" s="194"/>
      <c r="H193" s="232"/>
      <c r="I193" s="242"/>
      <c r="J193" s="196"/>
      <c r="K193" s="196"/>
      <c r="L193" s="196"/>
      <c r="M193" s="197"/>
      <c r="N193" s="187"/>
      <c r="O193" s="187"/>
      <c r="P193" s="156"/>
      <c r="Q193" s="157"/>
      <c r="R193" s="157"/>
      <c r="S193" s="157"/>
      <c r="T193" s="157"/>
      <c r="U193" s="157"/>
      <c r="V193" s="157"/>
    </row>
    <row r="194" spans="1:22" s="158" customFormat="1" ht="24" customHeight="1">
      <c r="A194" s="193"/>
      <c r="B194" s="231"/>
      <c r="C194" s="231"/>
      <c r="D194" s="228"/>
      <c r="E194" s="228"/>
      <c r="F194" s="194"/>
      <c r="G194" s="194"/>
      <c r="H194" s="232"/>
      <c r="I194" s="242"/>
      <c r="J194" s="196"/>
      <c r="K194" s="196"/>
      <c r="L194" s="196"/>
      <c r="M194" s="197"/>
      <c r="N194" s="187"/>
      <c r="O194" s="187"/>
      <c r="P194" s="156"/>
      <c r="Q194" s="157"/>
      <c r="R194" s="157"/>
      <c r="S194" s="157"/>
      <c r="T194" s="157"/>
      <c r="U194" s="157"/>
      <c r="V194" s="157"/>
    </row>
    <row r="195" spans="1:22" s="158" customFormat="1" ht="24" customHeight="1">
      <c r="A195" s="193"/>
      <c r="B195" s="231"/>
      <c r="C195" s="231"/>
      <c r="D195" s="228"/>
      <c r="E195" s="228"/>
      <c r="F195" s="194"/>
      <c r="G195" s="194"/>
      <c r="H195" s="232"/>
      <c r="I195" s="242"/>
      <c r="J195" s="196"/>
      <c r="K195" s="196"/>
      <c r="L195" s="196"/>
      <c r="M195" s="197"/>
      <c r="N195" s="187"/>
      <c r="O195" s="187"/>
      <c r="P195" s="156"/>
      <c r="Q195" s="157"/>
      <c r="R195" s="157"/>
      <c r="S195" s="157"/>
      <c r="T195" s="157"/>
      <c r="U195" s="157"/>
      <c r="V195" s="157"/>
    </row>
    <row r="196" spans="1:22" s="158" customFormat="1" ht="24" customHeight="1">
      <c r="A196" s="193"/>
      <c r="B196" s="231"/>
      <c r="C196" s="231"/>
      <c r="D196" s="228"/>
      <c r="E196" s="228"/>
      <c r="F196" s="194"/>
      <c r="G196" s="194"/>
      <c r="H196" s="232"/>
      <c r="I196" s="242"/>
      <c r="J196" s="196"/>
      <c r="K196" s="196"/>
      <c r="L196" s="196"/>
      <c r="M196" s="197"/>
      <c r="N196" s="187"/>
      <c r="O196" s="187"/>
      <c r="P196" s="156"/>
      <c r="Q196" s="157"/>
      <c r="R196" s="157"/>
      <c r="S196" s="157"/>
      <c r="T196" s="157"/>
      <c r="U196" s="157"/>
      <c r="V196" s="157"/>
    </row>
    <row r="197" spans="1:22" s="158" customFormat="1" ht="24" customHeight="1">
      <c r="A197" s="193"/>
      <c r="B197" s="231"/>
      <c r="C197" s="231"/>
      <c r="D197" s="228"/>
      <c r="E197" s="228"/>
      <c r="F197" s="194"/>
      <c r="G197" s="194"/>
      <c r="H197" s="232"/>
      <c r="I197" s="242"/>
      <c r="J197" s="196"/>
      <c r="K197" s="196"/>
      <c r="L197" s="196"/>
      <c r="M197" s="197"/>
      <c r="N197" s="187"/>
      <c r="O197" s="187"/>
      <c r="P197" s="156"/>
      <c r="Q197" s="157"/>
      <c r="R197" s="157"/>
      <c r="S197" s="157"/>
      <c r="T197" s="157"/>
      <c r="U197" s="157"/>
      <c r="V197" s="157"/>
    </row>
    <row r="198" spans="1:22" s="158" customFormat="1" ht="24" customHeight="1">
      <c r="A198" s="193"/>
      <c r="B198" s="231"/>
      <c r="C198" s="231"/>
      <c r="D198" s="228"/>
      <c r="E198" s="228"/>
      <c r="F198" s="194"/>
      <c r="G198" s="194"/>
      <c r="H198" s="232"/>
      <c r="I198" s="233"/>
      <c r="J198" s="196"/>
      <c r="K198" s="196"/>
      <c r="L198" s="196"/>
      <c r="M198" s="197"/>
      <c r="N198" s="187"/>
      <c r="O198" s="187"/>
      <c r="P198" s="156"/>
      <c r="Q198" s="157"/>
      <c r="R198" s="157"/>
      <c r="S198" s="157"/>
      <c r="T198" s="157"/>
      <c r="U198" s="157"/>
      <c r="V198" s="157"/>
    </row>
    <row r="199" spans="1:22" s="158" customFormat="1" ht="24" customHeight="1">
      <c r="A199" s="193"/>
      <c r="B199" s="231"/>
      <c r="C199" s="231"/>
      <c r="D199" s="229"/>
      <c r="E199" s="229"/>
      <c r="F199" s="194"/>
      <c r="G199" s="194"/>
      <c r="H199" s="232"/>
      <c r="I199" s="242"/>
      <c r="J199" s="196"/>
      <c r="K199" s="196"/>
      <c r="L199" s="196"/>
      <c r="M199" s="197"/>
      <c r="N199" s="187"/>
      <c r="O199" s="187"/>
      <c r="P199" s="156"/>
      <c r="Q199" s="157"/>
      <c r="R199" s="157"/>
      <c r="S199" s="157"/>
      <c r="T199" s="157"/>
      <c r="U199" s="157"/>
      <c r="V199" s="157"/>
    </row>
    <row r="200" spans="1:22" s="158" customFormat="1" ht="24" customHeight="1">
      <c r="A200" s="193"/>
      <c r="B200" s="231"/>
      <c r="C200" s="231"/>
      <c r="D200" s="228"/>
      <c r="E200" s="228"/>
      <c r="F200" s="194"/>
      <c r="G200" s="194"/>
      <c r="H200" s="232"/>
      <c r="I200" s="233"/>
      <c r="J200" s="196"/>
      <c r="K200" s="196"/>
      <c r="L200" s="196"/>
      <c r="M200" s="197"/>
      <c r="N200" s="187"/>
      <c r="O200" s="187"/>
      <c r="P200" s="156"/>
      <c r="Q200" s="157"/>
      <c r="R200" s="157"/>
      <c r="S200" s="157"/>
      <c r="T200" s="157"/>
      <c r="U200" s="157"/>
      <c r="V200" s="157"/>
    </row>
    <row r="201" spans="1:22" s="158" customFormat="1" ht="24" customHeight="1">
      <c r="A201" s="193"/>
      <c r="B201" s="204"/>
      <c r="C201" s="204"/>
      <c r="D201" s="205"/>
      <c r="E201" s="205"/>
      <c r="F201" s="194"/>
      <c r="G201" s="194"/>
      <c r="H201" s="206"/>
      <c r="I201" s="206"/>
      <c r="J201" s="196"/>
      <c r="K201" s="196"/>
      <c r="L201" s="196"/>
      <c r="M201" s="197"/>
      <c r="N201" s="187"/>
      <c r="O201" s="187"/>
      <c r="P201" s="156"/>
      <c r="Q201" s="157"/>
      <c r="R201" s="157"/>
      <c r="S201" s="157"/>
      <c r="T201" s="157"/>
      <c r="U201" s="157"/>
      <c r="V201" s="157"/>
    </row>
    <row r="202" spans="1:22" s="158" customFormat="1" ht="24" customHeight="1">
      <c r="A202" s="193"/>
      <c r="B202" s="204"/>
      <c r="C202" s="204"/>
      <c r="D202" s="205"/>
      <c r="E202" s="205"/>
      <c r="F202" s="194"/>
      <c r="G202" s="194"/>
      <c r="H202" s="206"/>
      <c r="I202" s="206"/>
      <c r="J202" s="196"/>
      <c r="K202" s="196"/>
      <c r="L202" s="196"/>
      <c r="M202" s="197"/>
      <c r="N202" s="187"/>
      <c r="O202" s="187"/>
      <c r="P202" s="156"/>
      <c r="Q202" s="157"/>
      <c r="R202" s="157"/>
      <c r="S202" s="157"/>
      <c r="T202" s="157"/>
      <c r="U202" s="157"/>
      <c r="V202" s="157"/>
    </row>
    <row r="203" spans="1:22" s="158" customFormat="1" ht="24" customHeight="1">
      <c r="A203" s="193"/>
      <c r="B203" s="204"/>
      <c r="C203" s="204"/>
      <c r="D203" s="205"/>
      <c r="E203" s="205"/>
      <c r="F203" s="194"/>
      <c r="G203" s="194"/>
      <c r="H203" s="206"/>
      <c r="I203" s="206"/>
      <c r="J203" s="196"/>
      <c r="K203" s="196"/>
      <c r="L203" s="196"/>
      <c r="M203" s="197"/>
      <c r="N203" s="187"/>
      <c r="O203" s="187"/>
      <c r="P203" s="156"/>
      <c r="Q203" s="157"/>
      <c r="R203" s="157"/>
      <c r="S203" s="157"/>
      <c r="T203" s="157"/>
      <c r="U203" s="157"/>
      <c r="V203" s="157"/>
    </row>
    <row r="204" spans="1:22" s="158" customFormat="1" ht="24" customHeight="1">
      <c r="A204" s="193"/>
      <c r="B204" s="204"/>
      <c r="C204" s="204"/>
      <c r="D204" s="205"/>
      <c r="E204" s="205"/>
      <c r="F204" s="194"/>
      <c r="G204" s="194"/>
      <c r="H204" s="206"/>
      <c r="I204" s="206"/>
      <c r="J204" s="196"/>
      <c r="K204" s="196"/>
      <c r="L204" s="196"/>
      <c r="M204" s="197"/>
      <c r="N204" s="187"/>
      <c r="O204" s="187"/>
      <c r="P204" s="156"/>
      <c r="Q204" s="157"/>
      <c r="R204" s="157"/>
      <c r="S204" s="157"/>
      <c r="T204" s="157"/>
      <c r="U204" s="157"/>
      <c r="V204" s="157"/>
    </row>
    <row r="205" spans="1:22" s="158" customFormat="1" ht="24" customHeight="1">
      <c r="A205" s="193"/>
      <c r="B205" s="204"/>
      <c r="C205" s="204"/>
      <c r="D205" s="205"/>
      <c r="E205" s="205"/>
      <c r="F205" s="194"/>
      <c r="G205" s="194"/>
      <c r="H205" s="206"/>
      <c r="I205" s="206"/>
      <c r="J205" s="196"/>
      <c r="K205" s="196"/>
      <c r="L205" s="196"/>
      <c r="M205" s="197"/>
      <c r="N205" s="187"/>
      <c r="O205" s="187"/>
      <c r="P205" s="156"/>
      <c r="Q205" s="157"/>
      <c r="R205" s="157"/>
      <c r="S205" s="157"/>
      <c r="T205" s="157"/>
      <c r="U205" s="157"/>
      <c r="V205" s="157"/>
    </row>
    <row r="206" spans="1:22" s="158" customFormat="1" ht="24" customHeight="1">
      <c r="A206" s="193"/>
      <c r="B206" s="204"/>
      <c r="C206" s="204"/>
      <c r="D206" s="205"/>
      <c r="E206" s="205"/>
      <c r="F206" s="194"/>
      <c r="G206" s="194"/>
      <c r="H206" s="206"/>
      <c r="I206" s="206"/>
      <c r="J206" s="196"/>
      <c r="K206" s="196"/>
      <c r="L206" s="196"/>
      <c r="M206" s="197"/>
      <c r="N206" s="187"/>
      <c r="O206" s="187"/>
      <c r="P206" s="156"/>
      <c r="Q206" s="157"/>
      <c r="R206" s="157"/>
      <c r="S206" s="157"/>
      <c r="T206" s="157"/>
      <c r="U206" s="157"/>
      <c r="V206" s="157"/>
    </row>
    <row r="207" spans="1:22" s="158" customFormat="1" ht="24" customHeight="1">
      <c r="A207" s="193"/>
      <c r="B207" s="207"/>
      <c r="C207" s="207"/>
      <c r="D207" s="205"/>
      <c r="E207" s="205"/>
      <c r="F207" s="194"/>
      <c r="G207" s="194"/>
      <c r="H207" s="208"/>
      <c r="I207" s="206"/>
      <c r="J207" s="196"/>
      <c r="K207" s="196"/>
      <c r="L207" s="196"/>
      <c r="M207" s="197"/>
      <c r="N207" s="187"/>
      <c r="O207" s="187"/>
      <c r="P207" s="156"/>
      <c r="Q207" s="157"/>
      <c r="R207" s="157"/>
      <c r="S207" s="157"/>
      <c r="T207" s="157"/>
      <c r="U207" s="157"/>
      <c r="V207" s="157"/>
    </row>
    <row r="208" spans="1:22" s="158" customFormat="1" ht="24" customHeight="1">
      <c r="A208" s="193"/>
      <c r="B208" s="204"/>
      <c r="C208" s="204"/>
      <c r="D208" s="205"/>
      <c r="E208" s="205"/>
      <c r="F208" s="194"/>
      <c r="G208" s="194"/>
      <c r="H208" s="206"/>
      <c r="I208" s="206"/>
      <c r="J208" s="196"/>
      <c r="K208" s="196"/>
      <c r="L208" s="196"/>
      <c r="M208" s="197"/>
      <c r="N208" s="187"/>
      <c r="O208" s="187"/>
      <c r="P208" s="156"/>
      <c r="Q208" s="157"/>
      <c r="R208" s="157"/>
      <c r="S208" s="157"/>
      <c r="T208" s="157"/>
      <c r="U208" s="157"/>
      <c r="V208" s="157"/>
    </row>
    <row r="209" spans="1:25" s="158" customFormat="1" ht="24" customHeight="1">
      <c r="A209" s="306" t="s">
        <v>109</v>
      </c>
      <c r="B209" s="307"/>
      <c r="C209" s="307"/>
      <c r="D209" s="308"/>
      <c r="E209" s="308">
        <f>SUBTOTAL(9,E185:E208)</f>
        <v>0</v>
      </c>
      <c r="F209" s="309"/>
      <c r="G209" s="309"/>
      <c r="H209" s="309"/>
      <c r="I209" s="309"/>
      <c r="J209" s="309"/>
      <c r="K209" s="309"/>
      <c r="L209" s="309"/>
      <c r="M209" s="310"/>
      <c r="N209" s="190"/>
      <c r="O209" s="190"/>
      <c r="P209" s="156"/>
      <c r="Q209" s="157"/>
      <c r="R209" s="157"/>
      <c r="S209" s="157"/>
      <c r="T209" s="157"/>
      <c r="U209" s="157"/>
      <c r="V209" s="157"/>
    </row>
    <row r="210" spans="1:25" s="158" customFormat="1" ht="24" customHeight="1">
      <c r="A210" s="209" t="s">
        <v>102</v>
      </c>
      <c r="B210" s="210"/>
      <c r="C210" s="210"/>
      <c r="D210" s="211"/>
      <c r="E210" s="211">
        <f>SUBTOTAL(9,E3:G209)</f>
        <v>0</v>
      </c>
      <c r="F210" s="212"/>
      <c r="G210" s="212"/>
      <c r="H210" s="212"/>
      <c r="I210" s="212"/>
      <c r="J210" s="212"/>
      <c r="K210" s="212"/>
      <c r="L210" s="212"/>
      <c r="M210" s="213"/>
      <c r="N210" s="190"/>
      <c r="O210" s="190"/>
      <c r="P210" s="156"/>
      <c r="Q210" s="157"/>
      <c r="R210" s="157"/>
      <c r="S210" s="157"/>
      <c r="T210" s="157"/>
      <c r="U210" s="157"/>
      <c r="V210" s="157"/>
    </row>
    <row r="211" spans="1:25" ht="24" customHeight="1">
      <c r="A211" s="110"/>
      <c r="B211" s="91"/>
      <c r="C211" s="149"/>
      <c r="D211" s="153"/>
      <c r="E211" s="153"/>
      <c r="F211" s="90"/>
      <c r="G211" s="90"/>
      <c r="H211" s="90"/>
      <c r="I211" s="90"/>
      <c r="J211" s="90"/>
      <c r="K211" s="90"/>
      <c r="L211" s="90"/>
      <c r="M211" s="149"/>
      <c r="N211" s="192"/>
      <c r="O211" s="192"/>
      <c r="P211" s="111"/>
      <c r="Q211" s="112"/>
      <c r="R211" s="112"/>
      <c r="S211" s="112"/>
      <c r="T211" s="112"/>
      <c r="U211" s="112"/>
      <c r="V211" s="112"/>
    </row>
    <row r="212" spans="1:25" ht="24" customHeight="1">
      <c r="A212" s="110"/>
      <c r="B212" s="91"/>
      <c r="C212" s="149"/>
      <c r="D212" s="153"/>
      <c r="E212" s="153"/>
      <c r="F212" s="90"/>
      <c r="G212" s="90"/>
      <c r="H212" s="90"/>
      <c r="I212" s="90"/>
      <c r="J212" s="90"/>
      <c r="K212" s="90"/>
      <c r="L212" s="90"/>
      <c r="M212" s="149"/>
      <c r="N212" s="192"/>
      <c r="O212" s="192"/>
      <c r="P212" s="111"/>
      <c r="Q212" s="112"/>
      <c r="R212" s="112"/>
      <c r="S212" s="112"/>
      <c r="T212" s="112"/>
      <c r="U212" s="112"/>
      <c r="V212" s="114"/>
    </row>
    <row r="213" spans="1:25" ht="24" customHeight="1">
      <c r="A213" s="110"/>
      <c r="B213" s="91"/>
      <c r="C213" s="149"/>
      <c r="D213" s="153"/>
      <c r="E213" s="153"/>
      <c r="F213" s="90"/>
      <c r="G213" s="90"/>
      <c r="H213" s="90"/>
      <c r="I213" s="90"/>
      <c r="J213" s="90"/>
      <c r="K213" s="90"/>
      <c r="L213" s="90"/>
      <c r="M213" s="149"/>
      <c r="N213" s="192"/>
      <c r="O213" s="192"/>
      <c r="P213" s="111"/>
      <c r="Q213" s="112"/>
      <c r="R213" s="112"/>
      <c r="S213" s="112"/>
      <c r="T213" s="112"/>
      <c r="U213" s="112"/>
      <c r="V213" s="114"/>
    </row>
    <row r="214" spans="1:25" ht="24" customHeight="1">
      <c r="A214" s="110"/>
      <c r="B214" s="91"/>
      <c r="C214" s="149"/>
      <c r="D214" s="153"/>
      <c r="E214" s="153"/>
      <c r="F214" s="90"/>
      <c r="G214" s="90"/>
      <c r="H214" s="90"/>
      <c r="I214" s="90"/>
      <c r="J214" s="90"/>
      <c r="K214" s="90"/>
      <c r="L214" s="90"/>
      <c r="M214" s="149"/>
      <c r="N214" s="192"/>
      <c r="O214" s="192"/>
      <c r="P214" s="111"/>
      <c r="Q214" s="112"/>
      <c r="R214" s="112"/>
      <c r="S214" s="112"/>
      <c r="T214" s="112"/>
      <c r="U214" s="112"/>
      <c r="V214" s="114"/>
    </row>
    <row r="215" spans="1:25" ht="24" customHeight="1">
      <c r="A215" s="110"/>
      <c r="B215" s="91"/>
      <c r="C215" s="91"/>
      <c r="D215" s="153"/>
      <c r="E215" s="153"/>
      <c r="F215" s="90"/>
      <c r="G215" s="90"/>
      <c r="H215" s="90"/>
      <c r="I215" s="90"/>
      <c r="J215" s="90"/>
      <c r="K215" s="90"/>
      <c r="L215" s="90"/>
      <c r="M215" s="149"/>
      <c r="N215" s="192"/>
      <c r="O215" s="192"/>
      <c r="P215" s="111"/>
      <c r="Q215" s="112"/>
      <c r="R215" s="112"/>
      <c r="S215" s="112"/>
      <c r="T215" s="112"/>
      <c r="U215" s="112"/>
      <c r="V215" s="114"/>
    </row>
    <row r="216" spans="1:25" ht="24" customHeight="1">
      <c r="A216" s="110"/>
      <c r="B216" s="91"/>
      <c r="C216" s="91"/>
      <c r="D216" s="153"/>
      <c r="E216" s="153"/>
      <c r="F216" s="90"/>
      <c r="G216" s="90"/>
      <c r="H216" s="90"/>
      <c r="I216" s="90"/>
      <c r="J216" s="90"/>
      <c r="K216" s="90"/>
      <c r="L216" s="90"/>
      <c r="M216" s="149"/>
      <c r="N216" s="192"/>
      <c r="O216" s="192"/>
      <c r="P216" s="111"/>
      <c r="Q216" s="112"/>
      <c r="R216" s="112"/>
      <c r="S216" s="112"/>
      <c r="T216" s="112"/>
      <c r="U216" s="112"/>
      <c r="V216" s="120"/>
      <c r="W216" s="112"/>
      <c r="X216" s="112"/>
      <c r="Y216" s="112"/>
    </row>
    <row r="217" spans="1:25" ht="32.1" customHeight="1">
      <c r="D217" s="155"/>
      <c r="E217" s="154"/>
      <c r="M217" s="110"/>
      <c r="N217" s="151"/>
      <c r="O217" s="151"/>
      <c r="P217" s="111"/>
      <c r="Q217" s="112"/>
      <c r="R217" s="112"/>
      <c r="S217" s="112"/>
      <c r="T217" s="112"/>
      <c r="U217" s="112"/>
      <c r="V217" s="120"/>
      <c r="W217" s="112"/>
      <c r="X217" s="112"/>
      <c r="Y217" s="112"/>
    </row>
    <row r="218" spans="1:25" ht="32.1" customHeight="1">
      <c r="D218" s="155"/>
      <c r="E218" s="154"/>
      <c r="M218" s="90"/>
      <c r="N218" s="150"/>
      <c r="O218" s="150"/>
      <c r="P218" s="111"/>
      <c r="Q218" s="112"/>
      <c r="R218" s="112"/>
      <c r="S218" s="112"/>
      <c r="T218" s="112"/>
      <c r="U218" s="112"/>
      <c r="V218" s="112"/>
    </row>
    <row r="219" spans="1:25" ht="32.1" customHeight="1">
      <c r="D219" s="155"/>
      <c r="E219" s="154"/>
      <c r="M219" s="90"/>
      <c r="N219" s="150"/>
      <c r="O219" s="150"/>
      <c r="P219" s="111"/>
      <c r="Q219" s="112"/>
      <c r="R219" s="112"/>
      <c r="S219" s="112"/>
      <c r="T219" s="112"/>
      <c r="U219" s="112"/>
      <c r="V219" s="112"/>
    </row>
    <row r="220" spans="1:25" ht="32.1" customHeight="1">
      <c r="D220" s="155"/>
      <c r="E220" s="154"/>
      <c r="M220" s="90"/>
      <c r="N220" s="150"/>
      <c r="O220" s="150"/>
      <c r="P220" s="111"/>
      <c r="Q220" s="112"/>
      <c r="R220" s="112"/>
      <c r="S220" s="112"/>
      <c r="T220" s="112"/>
      <c r="U220" s="112"/>
      <c r="V220" s="112"/>
    </row>
    <row r="221" spans="1:25" ht="32.1" customHeight="1">
      <c r="D221" s="155"/>
      <c r="E221" s="154"/>
      <c r="M221" s="90"/>
      <c r="N221" s="150"/>
      <c r="O221" s="150"/>
      <c r="P221" s="111"/>
      <c r="Q221" s="112"/>
      <c r="R221" s="112"/>
      <c r="S221" s="112"/>
      <c r="T221" s="112"/>
      <c r="U221" s="112"/>
      <c r="V221" s="112"/>
    </row>
    <row r="222" spans="1:25" ht="32.1" customHeight="1">
      <c r="D222" s="155"/>
      <c r="E222" s="154"/>
      <c r="M222" s="90"/>
      <c r="N222" s="150"/>
      <c r="O222" s="150"/>
      <c r="P222" s="111"/>
      <c r="Q222" s="112"/>
      <c r="R222" s="112"/>
      <c r="S222" s="112"/>
      <c r="T222" s="112"/>
      <c r="U222" s="112"/>
      <c r="V222" s="112"/>
    </row>
    <row r="223" spans="1:25" ht="32.1" customHeight="1">
      <c r="D223" s="155"/>
      <c r="E223" s="154"/>
      <c r="M223" s="90"/>
      <c r="N223" s="150"/>
      <c r="O223" s="150"/>
      <c r="P223" s="111"/>
      <c r="Q223" s="112"/>
      <c r="R223" s="112"/>
      <c r="S223" s="112"/>
      <c r="T223" s="112"/>
      <c r="U223" s="112"/>
      <c r="V223" s="112"/>
    </row>
    <row r="224" spans="1:25" ht="32.1" customHeight="1">
      <c r="D224" s="155"/>
      <c r="E224" s="154"/>
      <c r="M224" s="90"/>
      <c r="N224" s="150"/>
      <c r="O224" s="150"/>
      <c r="P224" s="111"/>
      <c r="Q224" s="112"/>
      <c r="R224" s="112"/>
      <c r="S224" s="112"/>
      <c r="T224" s="112"/>
      <c r="U224" s="112"/>
      <c r="V224" s="112"/>
    </row>
    <row r="225" spans="4:25" ht="32.1" customHeight="1">
      <c r="D225" s="155"/>
      <c r="E225" s="154"/>
      <c r="M225" s="90"/>
      <c r="N225" s="150"/>
      <c r="O225" s="150"/>
      <c r="P225" s="111"/>
      <c r="Q225" s="112"/>
      <c r="R225" s="112"/>
      <c r="S225" s="112"/>
      <c r="T225" s="112"/>
      <c r="U225" s="112"/>
      <c r="V225" s="112"/>
    </row>
    <row r="226" spans="4:25" ht="32.1" customHeight="1">
      <c r="D226" s="155"/>
      <c r="E226" s="154"/>
      <c r="M226" s="90"/>
      <c r="N226" s="150"/>
      <c r="O226" s="150"/>
      <c r="P226" s="111"/>
      <c r="Q226" s="112"/>
      <c r="R226" s="112"/>
      <c r="S226" s="112"/>
      <c r="T226" s="112"/>
      <c r="U226" s="112"/>
      <c r="V226" s="112"/>
    </row>
    <row r="227" spans="4:25" ht="32.1" customHeight="1">
      <c r="D227" s="155"/>
      <c r="E227" s="154"/>
      <c r="M227" s="90"/>
      <c r="N227" s="150"/>
      <c r="O227" s="150"/>
      <c r="P227" s="111"/>
      <c r="Q227" s="112"/>
      <c r="R227" s="112"/>
      <c r="S227" s="112"/>
      <c r="T227" s="112"/>
      <c r="U227" s="112"/>
      <c r="V227" s="112"/>
    </row>
    <row r="228" spans="4:25" ht="32.1" customHeight="1">
      <c r="D228" s="155"/>
      <c r="E228" s="154"/>
      <c r="M228" s="90"/>
      <c r="N228" s="150"/>
      <c r="O228" s="150"/>
      <c r="P228" s="111"/>
      <c r="Q228" s="112"/>
      <c r="R228" s="112"/>
      <c r="S228" s="112"/>
      <c r="T228" s="112"/>
      <c r="U228" s="112"/>
      <c r="V228" s="112"/>
    </row>
    <row r="229" spans="4:25" ht="32.1" customHeight="1">
      <c r="D229" s="155"/>
      <c r="E229" s="154"/>
      <c r="M229" s="90"/>
      <c r="N229" s="150"/>
      <c r="O229" s="150"/>
      <c r="P229" s="111"/>
      <c r="Q229" s="112"/>
      <c r="R229" s="112"/>
      <c r="S229" s="112"/>
      <c r="T229" s="112"/>
      <c r="U229" s="112"/>
      <c r="V229" s="112"/>
    </row>
    <row r="230" spans="4:25" ht="32.1" customHeight="1">
      <c r="D230" s="155"/>
      <c r="E230" s="154"/>
      <c r="M230" s="90"/>
      <c r="N230" s="150"/>
      <c r="O230" s="150"/>
      <c r="P230" s="111"/>
      <c r="Q230" s="112"/>
      <c r="R230" s="112"/>
      <c r="S230" s="112"/>
      <c r="T230" s="112"/>
      <c r="U230" s="112"/>
      <c r="V230" s="112"/>
    </row>
    <row r="231" spans="4:25" ht="32.1" customHeight="1">
      <c r="D231" s="155"/>
      <c r="E231" s="154"/>
      <c r="M231" s="90"/>
      <c r="N231" s="150"/>
      <c r="O231" s="150"/>
      <c r="P231" s="111"/>
      <c r="Q231" s="112"/>
      <c r="R231" s="112"/>
      <c r="S231" s="112"/>
      <c r="T231" s="112"/>
      <c r="U231" s="112"/>
      <c r="V231" s="112"/>
    </row>
    <row r="232" spans="4:25" ht="32.1" customHeight="1">
      <c r="D232" s="155"/>
      <c r="E232" s="154"/>
      <c r="M232" s="90"/>
      <c r="N232" s="150"/>
      <c r="O232" s="150"/>
      <c r="P232" s="111"/>
      <c r="Q232" s="112"/>
      <c r="R232" s="112"/>
      <c r="S232" s="112"/>
      <c r="T232" s="112"/>
      <c r="U232" s="112"/>
      <c r="V232" s="112"/>
    </row>
    <row r="233" spans="4:25" ht="32.1" customHeight="1">
      <c r="D233" s="155"/>
      <c r="E233" s="154"/>
      <c r="M233" s="90"/>
      <c r="N233" s="150"/>
      <c r="O233" s="150"/>
      <c r="P233" s="111" t="str">
        <f t="shared" ref="P233:P273" si="0">CONCATENATE(C233,H233)</f>
        <v/>
      </c>
      <c r="Q233" s="112"/>
      <c r="R233" s="112"/>
      <c r="S233" s="112"/>
      <c r="T233" s="112"/>
      <c r="U233" s="112"/>
      <c r="V233" s="114"/>
    </row>
    <row r="234" spans="4:25" ht="32.1" customHeight="1">
      <c r="D234" s="155"/>
      <c r="E234" s="154"/>
      <c r="M234" s="90"/>
      <c r="N234" s="150"/>
      <c r="O234" s="150"/>
      <c r="P234" s="111" t="str">
        <f t="shared" si="0"/>
        <v/>
      </c>
      <c r="Q234" s="112"/>
      <c r="R234" s="112"/>
      <c r="S234" s="112"/>
      <c r="T234" s="112"/>
      <c r="U234" s="112"/>
      <c r="V234" s="114"/>
    </row>
    <row r="235" spans="4:25" ht="32.1" customHeight="1">
      <c r="D235" s="155"/>
      <c r="E235" s="154"/>
      <c r="M235" s="90"/>
      <c r="N235" s="150"/>
      <c r="O235" s="150"/>
      <c r="P235" s="111" t="str">
        <f t="shared" si="0"/>
        <v/>
      </c>
      <c r="Q235" s="112"/>
      <c r="R235" s="112"/>
      <c r="S235" s="112"/>
      <c r="T235" s="112"/>
      <c r="U235" s="112"/>
      <c r="V235" s="114"/>
    </row>
    <row r="236" spans="4:25" ht="32.1" customHeight="1">
      <c r="D236" s="155"/>
      <c r="E236" s="154"/>
      <c r="M236" s="90"/>
      <c r="N236" s="150"/>
      <c r="O236" s="150"/>
      <c r="P236" s="111" t="str">
        <f t="shared" si="0"/>
        <v/>
      </c>
      <c r="Q236" s="112"/>
      <c r="R236" s="112"/>
      <c r="S236" s="112"/>
      <c r="T236" s="112"/>
      <c r="U236" s="112"/>
      <c r="V236" s="114"/>
    </row>
    <row r="237" spans="4:25" ht="32.1" customHeight="1">
      <c r="D237" s="155"/>
      <c r="E237" s="154"/>
      <c r="M237" s="90"/>
      <c r="N237" s="150"/>
      <c r="O237" s="150"/>
      <c r="P237" s="111" t="str">
        <f t="shared" si="0"/>
        <v/>
      </c>
      <c r="Q237" s="112"/>
      <c r="R237" s="112"/>
      <c r="S237" s="112"/>
      <c r="T237" s="112"/>
      <c r="U237" s="112"/>
      <c r="V237" s="120"/>
      <c r="W237" s="112"/>
      <c r="X237" s="112"/>
      <c r="Y237" s="112"/>
    </row>
    <row r="238" spans="4:25" ht="32.1" customHeight="1">
      <c r="D238" s="155"/>
      <c r="E238" s="154"/>
      <c r="M238" s="110"/>
      <c r="N238" s="151"/>
      <c r="O238" s="151"/>
      <c r="P238" s="111" t="str">
        <f t="shared" si="0"/>
        <v/>
      </c>
      <c r="Q238" s="112"/>
      <c r="R238" s="112"/>
      <c r="S238" s="112"/>
      <c r="T238" s="112"/>
      <c r="U238" s="112"/>
      <c r="V238" s="120"/>
      <c r="W238" s="112"/>
      <c r="X238" s="112"/>
      <c r="Y238" s="112"/>
    </row>
    <row r="239" spans="4:25" ht="32.1" customHeight="1">
      <c r="D239" s="155"/>
      <c r="E239" s="154"/>
      <c r="P239" s="111" t="str">
        <f t="shared" si="0"/>
        <v/>
      </c>
      <c r="Q239" s="112"/>
      <c r="R239" s="112"/>
      <c r="S239" s="112"/>
      <c r="T239" s="112"/>
      <c r="U239" s="112"/>
      <c r="V239" s="112"/>
    </row>
    <row r="240" spans="4:25" ht="32.1" customHeight="1">
      <c r="D240" s="155"/>
      <c r="E240" s="154"/>
      <c r="P240" s="111" t="str">
        <f t="shared" si="0"/>
        <v/>
      </c>
      <c r="Q240" s="112"/>
      <c r="R240" s="112"/>
      <c r="S240" s="112"/>
      <c r="T240" s="112"/>
      <c r="U240" s="112"/>
      <c r="V240" s="112"/>
    </row>
    <row r="241" spans="4:22" ht="32.1" customHeight="1">
      <c r="D241" s="155"/>
      <c r="E241" s="154"/>
      <c r="P241" s="111" t="str">
        <f t="shared" si="0"/>
        <v/>
      </c>
      <c r="Q241" s="112"/>
      <c r="R241" s="112"/>
      <c r="S241" s="112"/>
      <c r="T241" s="112"/>
      <c r="U241" s="112"/>
      <c r="V241" s="112"/>
    </row>
    <row r="242" spans="4:22" ht="32.1" customHeight="1">
      <c r="D242" s="155"/>
      <c r="E242" s="154"/>
      <c r="P242" s="111" t="str">
        <f t="shared" si="0"/>
        <v/>
      </c>
      <c r="Q242" s="112"/>
      <c r="R242" s="112"/>
      <c r="S242" s="112"/>
      <c r="T242" s="112"/>
      <c r="U242" s="112"/>
      <c r="V242" s="112"/>
    </row>
    <row r="243" spans="4:22" ht="32.1" customHeight="1">
      <c r="D243" s="155"/>
      <c r="E243" s="154"/>
      <c r="P243" s="111" t="str">
        <f t="shared" si="0"/>
        <v/>
      </c>
      <c r="Q243" s="112"/>
      <c r="R243" s="112"/>
      <c r="S243" s="112"/>
      <c r="T243" s="112"/>
      <c r="U243" s="112"/>
      <c r="V243" s="112"/>
    </row>
    <row r="244" spans="4:22" ht="32.1" customHeight="1">
      <c r="D244" s="155"/>
      <c r="E244" s="154"/>
      <c r="P244" s="111" t="str">
        <f t="shared" si="0"/>
        <v/>
      </c>
      <c r="Q244" s="112"/>
      <c r="R244" s="112"/>
      <c r="S244" s="112"/>
      <c r="T244" s="112"/>
      <c r="U244" s="112"/>
      <c r="V244" s="112"/>
    </row>
    <row r="245" spans="4:22" ht="32.1" customHeight="1">
      <c r="D245" s="155"/>
      <c r="E245" s="154"/>
      <c r="P245" s="111" t="str">
        <f t="shared" si="0"/>
        <v/>
      </c>
      <c r="Q245" s="112"/>
      <c r="R245" s="112"/>
      <c r="S245" s="112"/>
      <c r="T245" s="112"/>
      <c r="U245" s="112"/>
      <c r="V245" s="112"/>
    </row>
    <row r="246" spans="4:22" ht="32.1" customHeight="1">
      <c r="D246" s="155"/>
      <c r="E246" s="154"/>
      <c r="P246" s="111" t="str">
        <f t="shared" si="0"/>
        <v/>
      </c>
      <c r="Q246" s="112"/>
      <c r="R246" s="112"/>
      <c r="S246" s="112"/>
      <c r="T246" s="112"/>
      <c r="U246" s="112"/>
      <c r="V246" s="112"/>
    </row>
    <row r="247" spans="4:22" ht="32.1" customHeight="1">
      <c r="D247" s="155"/>
      <c r="E247" s="154"/>
      <c r="P247" s="111" t="str">
        <f t="shared" si="0"/>
        <v/>
      </c>
      <c r="Q247" s="112"/>
      <c r="R247" s="112"/>
      <c r="S247" s="112"/>
      <c r="T247" s="112"/>
      <c r="U247" s="112"/>
      <c r="V247" s="112"/>
    </row>
    <row r="248" spans="4:22" ht="32.1" customHeight="1">
      <c r="D248" s="155"/>
      <c r="E248" s="154"/>
      <c r="P248" s="111" t="str">
        <f t="shared" si="0"/>
        <v/>
      </c>
      <c r="Q248" s="112"/>
      <c r="R248" s="112"/>
      <c r="S248" s="112"/>
      <c r="T248" s="112"/>
      <c r="U248" s="112"/>
      <c r="V248" s="112"/>
    </row>
    <row r="249" spans="4:22" ht="32.1" customHeight="1">
      <c r="D249" s="155"/>
      <c r="E249" s="154"/>
      <c r="P249" s="111" t="str">
        <f t="shared" si="0"/>
        <v/>
      </c>
      <c r="Q249" s="112"/>
      <c r="R249" s="112"/>
      <c r="S249" s="112"/>
      <c r="T249" s="112"/>
      <c r="U249" s="112"/>
      <c r="V249" s="112"/>
    </row>
    <row r="250" spans="4:22" ht="32.1" customHeight="1">
      <c r="D250" s="155"/>
      <c r="E250" s="154"/>
      <c r="P250" s="111" t="str">
        <f t="shared" si="0"/>
        <v/>
      </c>
      <c r="Q250" s="112"/>
      <c r="R250" s="112"/>
      <c r="S250" s="112"/>
      <c r="T250" s="112"/>
      <c r="U250" s="112"/>
      <c r="V250" s="112"/>
    </row>
    <row r="251" spans="4:22" ht="32.1" customHeight="1">
      <c r="D251" s="155"/>
      <c r="E251" s="154"/>
      <c r="P251" s="111" t="str">
        <f t="shared" si="0"/>
        <v/>
      </c>
      <c r="Q251" s="112"/>
      <c r="R251" s="112"/>
      <c r="S251" s="112"/>
      <c r="T251" s="112"/>
      <c r="U251" s="112"/>
      <c r="V251" s="112"/>
    </row>
    <row r="252" spans="4:22" ht="32.1" customHeight="1">
      <c r="D252" s="155"/>
      <c r="E252" s="154"/>
      <c r="P252" s="111" t="str">
        <f t="shared" si="0"/>
        <v/>
      </c>
      <c r="Q252" s="112"/>
      <c r="R252" s="112"/>
      <c r="S252" s="112"/>
      <c r="T252" s="112"/>
      <c r="U252" s="112"/>
      <c r="V252" s="112"/>
    </row>
    <row r="253" spans="4:22" ht="32.1" customHeight="1">
      <c r="D253" s="155"/>
      <c r="E253" s="154"/>
      <c r="P253" s="111" t="str">
        <f t="shared" si="0"/>
        <v/>
      </c>
      <c r="Q253" s="112"/>
      <c r="R253" s="112"/>
      <c r="S253" s="112"/>
      <c r="T253" s="112"/>
      <c r="U253" s="112"/>
      <c r="V253" s="112"/>
    </row>
    <row r="254" spans="4:22" ht="32.1" customHeight="1">
      <c r="D254" s="155"/>
      <c r="E254" s="154"/>
      <c r="P254" s="111" t="str">
        <f t="shared" si="0"/>
        <v/>
      </c>
      <c r="Q254" s="112"/>
      <c r="R254" s="112"/>
      <c r="S254" s="112"/>
      <c r="T254" s="112"/>
      <c r="U254" s="112"/>
      <c r="V254" s="114"/>
    </row>
    <row r="255" spans="4:22" ht="32.1" customHeight="1">
      <c r="D255" s="155"/>
      <c r="E255" s="154"/>
      <c r="P255" s="111" t="str">
        <f t="shared" si="0"/>
        <v/>
      </c>
      <c r="Q255" s="112"/>
      <c r="R255" s="112"/>
      <c r="S255" s="112"/>
      <c r="T255" s="112"/>
      <c r="U255" s="112"/>
      <c r="V255" s="114"/>
    </row>
    <row r="256" spans="4:22" ht="32.1" customHeight="1">
      <c r="D256" s="155"/>
      <c r="E256" s="154"/>
      <c r="P256" s="111" t="str">
        <f t="shared" si="0"/>
        <v/>
      </c>
      <c r="Q256" s="112"/>
      <c r="R256" s="112"/>
      <c r="S256" s="112"/>
      <c r="T256" s="112"/>
      <c r="U256" s="112"/>
      <c r="V256" s="114"/>
    </row>
    <row r="257" spans="4:25" ht="32.1" customHeight="1">
      <c r="D257" s="155"/>
      <c r="E257" s="154"/>
      <c r="P257" s="111" t="str">
        <f t="shared" si="0"/>
        <v/>
      </c>
      <c r="Q257" s="112"/>
      <c r="R257" s="112"/>
      <c r="S257" s="112"/>
      <c r="T257" s="112"/>
      <c r="U257" s="112"/>
      <c r="V257" s="114"/>
    </row>
    <row r="258" spans="4:25" ht="32.1" customHeight="1">
      <c r="D258" s="155"/>
      <c r="E258" s="154"/>
      <c r="P258" s="111" t="str">
        <f t="shared" si="0"/>
        <v/>
      </c>
      <c r="Q258" s="112"/>
      <c r="R258" s="112"/>
      <c r="S258" s="112"/>
      <c r="T258" s="112"/>
      <c r="U258" s="112"/>
      <c r="V258" s="120"/>
      <c r="W258" s="112"/>
      <c r="X258" s="112"/>
      <c r="Y258" s="112"/>
    </row>
    <row r="259" spans="4:25" ht="32.1" customHeight="1">
      <c r="D259" s="155"/>
      <c r="E259" s="154"/>
      <c r="P259" s="111" t="str">
        <f t="shared" si="0"/>
        <v/>
      </c>
      <c r="Q259" s="112"/>
      <c r="R259" s="112"/>
      <c r="S259" s="112"/>
      <c r="T259" s="112"/>
      <c r="U259" s="112"/>
      <c r="V259" s="120"/>
      <c r="W259" s="112"/>
      <c r="X259" s="112"/>
      <c r="Y259" s="112"/>
    </row>
    <row r="260" spans="4:25" ht="32.1" customHeight="1">
      <c r="D260" s="155"/>
      <c r="E260" s="154"/>
      <c r="P260" s="111" t="str">
        <f t="shared" si="0"/>
        <v/>
      </c>
      <c r="Q260" s="112"/>
      <c r="R260" s="112"/>
      <c r="S260" s="112"/>
      <c r="T260" s="112"/>
      <c r="U260" s="112"/>
      <c r="V260" s="112"/>
    </row>
    <row r="261" spans="4:25" ht="32.1" customHeight="1">
      <c r="D261" s="155"/>
      <c r="E261" s="154"/>
      <c r="P261" s="111" t="str">
        <f t="shared" si="0"/>
        <v/>
      </c>
      <c r="Q261" s="112"/>
      <c r="R261" s="112"/>
      <c r="S261" s="112"/>
      <c r="T261" s="112"/>
      <c r="U261" s="112"/>
      <c r="V261" s="112"/>
    </row>
    <row r="262" spans="4:25" ht="32.1" customHeight="1">
      <c r="D262" s="155"/>
      <c r="E262" s="154"/>
      <c r="P262" s="111" t="str">
        <f t="shared" si="0"/>
        <v/>
      </c>
      <c r="Q262" s="112"/>
      <c r="R262" s="112"/>
      <c r="S262" s="112"/>
      <c r="T262" s="112"/>
      <c r="U262" s="112"/>
      <c r="V262" s="112"/>
    </row>
    <row r="263" spans="4:25" ht="32.1" customHeight="1">
      <c r="D263" s="155"/>
      <c r="E263" s="154"/>
      <c r="P263" s="111" t="str">
        <f t="shared" si="0"/>
        <v/>
      </c>
      <c r="Q263" s="112"/>
      <c r="R263" s="112"/>
      <c r="S263" s="112"/>
      <c r="T263" s="112"/>
      <c r="U263" s="112"/>
      <c r="V263" s="112"/>
    </row>
    <row r="264" spans="4:25" ht="32.1" customHeight="1">
      <c r="D264" s="155"/>
      <c r="E264" s="154"/>
      <c r="P264" s="111" t="str">
        <f t="shared" si="0"/>
        <v/>
      </c>
      <c r="Q264" s="112"/>
      <c r="R264" s="112"/>
      <c r="S264" s="112"/>
      <c r="T264" s="112"/>
      <c r="U264" s="112"/>
      <c r="V264" s="112"/>
    </row>
    <row r="265" spans="4:25" ht="32.1" customHeight="1">
      <c r="D265" s="155"/>
      <c r="E265" s="154"/>
      <c r="P265" s="111" t="str">
        <f t="shared" si="0"/>
        <v/>
      </c>
      <c r="Q265" s="112"/>
      <c r="R265" s="112"/>
      <c r="S265" s="112"/>
      <c r="T265" s="112"/>
      <c r="U265" s="112"/>
      <c r="V265" s="112"/>
    </row>
    <row r="266" spans="4:25" ht="32.1" customHeight="1">
      <c r="D266" s="155"/>
      <c r="E266" s="154"/>
      <c r="P266" s="111" t="str">
        <f t="shared" si="0"/>
        <v/>
      </c>
      <c r="Q266" s="112"/>
      <c r="R266" s="112"/>
      <c r="S266" s="112"/>
      <c r="T266" s="112"/>
      <c r="U266" s="112"/>
      <c r="V266" s="112"/>
    </row>
    <row r="267" spans="4:25" ht="32.1" customHeight="1">
      <c r="D267" s="155"/>
      <c r="E267" s="154"/>
      <c r="P267" s="111" t="str">
        <f t="shared" si="0"/>
        <v/>
      </c>
      <c r="Q267" s="112"/>
      <c r="R267" s="112"/>
      <c r="S267" s="112"/>
      <c r="T267" s="112"/>
      <c r="U267" s="112"/>
      <c r="V267" s="112"/>
    </row>
    <row r="268" spans="4:25" ht="32.1" customHeight="1">
      <c r="D268" s="155"/>
      <c r="E268" s="154"/>
      <c r="P268" s="111" t="str">
        <f t="shared" si="0"/>
        <v/>
      </c>
      <c r="Q268" s="112"/>
      <c r="R268" s="112"/>
      <c r="S268" s="112"/>
      <c r="T268" s="112"/>
      <c r="U268" s="112"/>
      <c r="V268" s="112"/>
    </row>
    <row r="269" spans="4:25" ht="32.1" customHeight="1">
      <c r="D269" s="155"/>
      <c r="E269" s="154"/>
      <c r="P269" s="111" t="str">
        <f t="shared" si="0"/>
        <v/>
      </c>
      <c r="Q269" s="112"/>
      <c r="R269" s="112"/>
      <c r="S269" s="112"/>
      <c r="T269" s="112"/>
      <c r="U269" s="112"/>
      <c r="V269" s="112"/>
    </row>
    <row r="270" spans="4:25" ht="32.1" customHeight="1">
      <c r="D270" s="155"/>
      <c r="E270" s="154"/>
      <c r="P270" s="111" t="str">
        <f t="shared" si="0"/>
        <v/>
      </c>
      <c r="Q270" s="112"/>
      <c r="R270" s="112"/>
      <c r="S270" s="112"/>
      <c r="T270" s="112"/>
      <c r="U270" s="112"/>
      <c r="V270" s="112"/>
    </row>
    <row r="271" spans="4:25" ht="32.1" customHeight="1">
      <c r="D271" s="155"/>
      <c r="E271" s="154"/>
      <c r="P271" s="111" t="str">
        <f t="shared" si="0"/>
        <v/>
      </c>
      <c r="Q271" s="112"/>
      <c r="R271" s="112"/>
      <c r="S271" s="112"/>
      <c r="T271" s="112"/>
      <c r="U271" s="112"/>
      <c r="V271" s="112"/>
    </row>
    <row r="272" spans="4:25" ht="32.1" customHeight="1">
      <c r="D272" s="155"/>
      <c r="E272" s="154"/>
      <c r="P272" s="111" t="str">
        <f t="shared" si="0"/>
        <v/>
      </c>
      <c r="Q272" s="112"/>
      <c r="R272" s="112"/>
      <c r="S272" s="112"/>
      <c r="T272" s="112"/>
      <c r="U272" s="112"/>
      <c r="V272" s="112"/>
    </row>
    <row r="273" spans="4:25" ht="32.1" customHeight="1">
      <c r="D273" s="155"/>
      <c r="E273" s="154"/>
      <c r="P273" s="111" t="str">
        <f t="shared" si="0"/>
        <v/>
      </c>
      <c r="Q273" s="112"/>
      <c r="R273" s="112"/>
      <c r="S273" s="112"/>
      <c r="T273" s="112"/>
      <c r="U273" s="112"/>
      <c r="V273" s="112"/>
    </row>
    <row r="274" spans="4:25" ht="32.1" customHeight="1">
      <c r="D274" s="155"/>
      <c r="E274" s="154"/>
      <c r="P274" s="111" t="str">
        <f t="shared" ref="P274:P337" si="1">CONCATENATE(C274,H274)</f>
        <v/>
      </c>
      <c r="Q274" s="112"/>
      <c r="R274" s="112"/>
      <c r="S274" s="112"/>
      <c r="T274" s="112"/>
      <c r="U274" s="112"/>
      <c r="V274" s="112"/>
    </row>
    <row r="275" spans="4:25" ht="32.1" customHeight="1">
      <c r="D275" s="155"/>
      <c r="E275" s="154"/>
      <c r="P275" s="111" t="str">
        <f t="shared" si="1"/>
        <v/>
      </c>
      <c r="Q275" s="112"/>
      <c r="R275" s="112"/>
      <c r="S275" s="112"/>
      <c r="T275" s="112"/>
      <c r="U275" s="112"/>
      <c r="V275" s="114"/>
    </row>
    <row r="276" spans="4:25" ht="32.1" customHeight="1">
      <c r="D276" s="155"/>
      <c r="E276" s="154"/>
      <c r="P276" s="111" t="str">
        <f t="shared" si="1"/>
        <v/>
      </c>
      <c r="Q276" s="112"/>
      <c r="R276" s="112"/>
      <c r="S276" s="112"/>
      <c r="T276" s="112"/>
      <c r="U276" s="112"/>
      <c r="V276" s="114"/>
    </row>
    <row r="277" spans="4:25" ht="32.1" customHeight="1">
      <c r="D277" s="155"/>
      <c r="E277" s="154"/>
      <c r="P277" s="111" t="str">
        <f t="shared" si="1"/>
        <v/>
      </c>
      <c r="Q277" s="112"/>
      <c r="R277" s="112"/>
      <c r="S277" s="112"/>
      <c r="T277" s="112"/>
      <c r="U277" s="112"/>
      <c r="V277" s="114"/>
    </row>
    <row r="278" spans="4:25" ht="32.1" customHeight="1">
      <c r="D278" s="155"/>
      <c r="E278" s="154"/>
      <c r="P278" s="111" t="str">
        <f t="shared" si="1"/>
        <v/>
      </c>
      <c r="Q278" s="112"/>
      <c r="R278" s="112"/>
      <c r="S278" s="112"/>
      <c r="T278" s="112"/>
      <c r="U278" s="112"/>
      <c r="V278" s="114"/>
    </row>
    <row r="279" spans="4:25" ht="32.1" customHeight="1">
      <c r="D279" s="155"/>
      <c r="E279" s="154"/>
      <c r="P279" s="111" t="str">
        <f t="shared" si="1"/>
        <v/>
      </c>
      <c r="Q279" s="112"/>
      <c r="R279" s="112"/>
      <c r="S279" s="112"/>
      <c r="T279" s="112"/>
      <c r="U279" s="112"/>
      <c r="V279" s="120"/>
      <c r="W279" s="112"/>
      <c r="X279" s="112"/>
      <c r="Y279" s="112"/>
    </row>
    <row r="280" spans="4:25" ht="32.1" customHeight="1">
      <c r="D280" s="155"/>
      <c r="E280" s="154"/>
      <c r="P280" s="111" t="str">
        <f t="shared" si="1"/>
        <v/>
      </c>
      <c r="Q280" s="112"/>
      <c r="R280" s="112"/>
      <c r="S280" s="112"/>
      <c r="T280" s="112"/>
      <c r="U280" s="112"/>
      <c r="V280" s="120"/>
      <c r="W280" s="112"/>
      <c r="X280" s="112"/>
      <c r="Y280" s="112"/>
    </row>
    <row r="281" spans="4:25" ht="32.1" customHeight="1">
      <c r="D281" s="155"/>
      <c r="E281" s="154"/>
      <c r="P281" s="111" t="str">
        <f t="shared" si="1"/>
        <v/>
      </c>
      <c r="Q281" s="112"/>
      <c r="R281" s="112"/>
      <c r="S281" s="112"/>
      <c r="T281" s="112"/>
      <c r="U281" s="112"/>
      <c r="V281" s="112"/>
    </row>
    <row r="282" spans="4:25" ht="32.1" customHeight="1">
      <c r="D282" s="155"/>
      <c r="E282" s="154"/>
      <c r="P282" s="111" t="str">
        <f t="shared" si="1"/>
        <v/>
      </c>
      <c r="Q282" s="112"/>
      <c r="R282" s="112"/>
      <c r="S282" s="112"/>
      <c r="T282" s="112"/>
      <c r="U282" s="112"/>
      <c r="V282" s="112"/>
    </row>
    <row r="283" spans="4:25" ht="32.1" customHeight="1">
      <c r="D283" s="155"/>
      <c r="E283" s="154"/>
      <c r="P283" s="111" t="str">
        <f t="shared" si="1"/>
        <v/>
      </c>
      <c r="Q283" s="112"/>
      <c r="R283" s="112"/>
      <c r="S283" s="112"/>
      <c r="T283" s="112"/>
      <c r="U283" s="112"/>
      <c r="V283" s="112"/>
    </row>
    <row r="284" spans="4:25" ht="32.1" customHeight="1">
      <c r="D284" s="155"/>
      <c r="E284" s="154"/>
      <c r="P284" s="111" t="str">
        <f t="shared" si="1"/>
        <v/>
      </c>
      <c r="Q284" s="112"/>
      <c r="R284" s="112"/>
      <c r="S284" s="112"/>
      <c r="T284" s="112"/>
      <c r="U284" s="112"/>
      <c r="V284" s="112"/>
    </row>
    <row r="285" spans="4:25" ht="32.1" customHeight="1">
      <c r="D285" s="155"/>
      <c r="E285" s="154"/>
      <c r="P285" s="111" t="str">
        <f t="shared" si="1"/>
        <v/>
      </c>
      <c r="Q285" s="112"/>
      <c r="R285" s="112"/>
      <c r="S285" s="112"/>
      <c r="T285" s="112"/>
      <c r="U285" s="112"/>
      <c r="V285" s="112"/>
    </row>
    <row r="286" spans="4:25" ht="32.1" customHeight="1">
      <c r="D286" s="155"/>
      <c r="E286" s="154"/>
      <c r="P286" s="111" t="str">
        <f t="shared" si="1"/>
        <v/>
      </c>
      <c r="Q286" s="112"/>
      <c r="R286" s="112"/>
      <c r="S286" s="112"/>
      <c r="T286" s="112"/>
      <c r="U286" s="112"/>
      <c r="V286" s="112"/>
    </row>
    <row r="287" spans="4:25" ht="32.1" customHeight="1">
      <c r="D287" s="155"/>
      <c r="E287" s="154"/>
      <c r="P287" s="111" t="str">
        <f t="shared" si="1"/>
        <v/>
      </c>
      <c r="Q287" s="112"/>
      <c r="R287" s="112"/>
      <c r="S287" s="112"/>
      <c r="T287" s="112"/>
      <c r="U287" s="112"/>
      <c r="V287" s="112"/>
    </row>
    <row r="288" spans="4:25" ht="32.1" customHeight="1">
      <c r="D288" s="155"/>
      <c r="E288" s="154"/>
      <c r="P288" s="111" t="str">
        <f t="shared" si="1"/>
        <v/>
      </c>
      <c r="Q288" s="112"/>
      <c r="R288" s="112"/>
      <c r="S288" s="112"/>
      <c r="T288" s="112"/>
      <c r="U288" s="112"/>
      <c r="V288" s="112"/>
    </row>
    <row r="289" spans="4:25" ht="32.1" customHeight="1">
      <c r="D289" s="155"/>
      <c r="E289" s="154"/>
      <c r="P289" s="111" t="str">
        <f t="shared" si="1"/>
        <v/>
      </c>
      <c r="Q289" s="112"/>
      <c r="R289" s="112"/>
      <c r="S289" s="112"/>
      <c r="T289" s="112"/>
      <c r="U289" s="112"/>
      <c r="V289" s="112"/>
    </row>
    <row r="290" spans="4:25" ht="32.1" customHeight="1">
      <c r="D290" s="155"/>
      <c r="E290" s="154"/>
      <c r="P290" s="111" t="str">
        <f t="shared" si="1"/>
        <v/>
      </c>
      <c r="Q290" s="112"/>
      <c r="R290" s="112"/>
      <c r="S290" s="112"/>
      <c r="T290" s="112"/>
      <c r="U290" s="112"/>
      <c r="V290" s="112"/>
    </row>
    <row r="291" spans="4:25" ht="32.1" customHeight="1">
      <c r="D291" s="155"/>
      <c r="E291" s="154"/>
      <c r="P291" s="111" t="str">
        <f t="shared" si="1"/>
        <v/>
      </c>
      <c r="Q291" s="112"/>
      <c r="R291" s="112"/>
      <c r="S291" s="112"/>
      <c r="T291" s="112"/>
      <c r="U291" s="112"/>
      <c r="V291" s="112"/>
    </row>
    <row r="292" spans="4:25" ht="32.1" customHeight="1">
      <c r="D292" s="155"/>
      <c r="E292" s="154"/>
      <c r="P292" s="111" t="str">
        <f t="shared" si="1"/>
        <v/>
      </c>
      <c r="Q292" s="112"/>
      <c r="R292" s="112"/>
      <c r="S292" s="112"/>
      <c r="T292" s="112"/>
      <c r="U292" s="112"/>
      <c r="V292" s="112"/>
    </row>
    <row r="293" spans="4:25" ht="32.1" customHeight="1">
      <c r="D293" s="155"/>
      <c r="E293" s="154"/>
      <c r="P293" s="111" t="str">
        <f t="shared" si="1"/>
        <v/>
      </c>
      <c r="Q293" s="112"/>
      <c r="R293" s="112"/>
      <c r="S293" s="112"/>
      <c r="T293" s="112"/>
      <c r="U293" s="112"/>
      <c r="V293" s="112"/>
    </row>
    <row r="294" spans="4:25" ht="32.1" customHeight="1">
      <c r="D294" s="155"/>
      <c r="E294" s="154"/>
      <c r="P294" s="111" t="str">
        <f t="shared" si="1"/>
        <v/>
      </c>
      <c r="Q294" s="112"/>
      <c r="R294" s="112"/>
      <c r="S294" s="112"/>
      <c r="T294" s="112"/>
      <c r="U294" s="112"/>
      <c r="V294" s="112"/>
    </row>
    <row r="295" spans="4:25" ht="32.1" customHeight="1">
      <c r="D295" s="155"/>
      <c r="E295" s="154"/>
      <c r="P295" s="111" t="str">
        <f t="shared" si="1"/>
        <v/>
      </c>
      <c r="Q295" s="112"/>
      <c r="R295" s="112"/>
      <c r="S295" s="112"/>
      <c r="T295" s="112"/>
      <c r="U295" s="112"/>
      <c r="V295" s="112"/>
    </row>
    <row r="296" spans="4:25" ht="32.1" customHeight="1">
      <c r="D296" s="155"/>
      <c r="E296" s="154"/>
      <c r="P296" s="111" t="str">
        <f t="shared" si="1"/>
        <v/>
      </c>
      <c r="Q296" s="112"/>
      <c r="R296" s="112"/>
      <c r="S296" s="112"/>
      <c r="T296" s="112"/>
      <c r="U296" s="112"/>
      <c r="V296" s="114"/>
    </row>
    <row r="297" spans="4:25" ht="32.1" customHeight="1">
      <c r="D297" s="155"/>
      <c r="E297" s="154"/>
      <c r="P297" s="111" t="str">
        <f t="shared" si="1"/>
        <v/>
      </c>
      <c r="Q297" s="112"/>
      <c r="R297" s="112"/>
      <c r="S297" s="112"/>
      <c r="T297" s="112"/>
      <c r="U297" s="112"/>
      <c r="V297" s="114"/>
    </row>
    <row r="298" spans="4:25" ht="32.1" customHeight="1">
      <c r="D298" s="155"/>
      <c r="E298" s="154"/>
      <c r="P298" s="111" t="str">
        <f t="shared" si="1"/>
        <v/>
      </c>
      <c r="Q298" s="112"/>
      <c r="R298" s="112"/>
      <c r="S298" s="112"/>
      <c r="T298" s="112"/>
      <c r="U298" s="112"/>
      <c r="V298" s="114"/>
    </row>
    <row r="299" spans="4:25" ht="32.1" customHeight="1">
      <c r="D299" s="155"/>
      <c r="E299" s="154"/>
      <c r="P299" s="111" t="str">
        <f t="shared" si="1"/>
        <v/>
      </c>
      <c r="Q299" s="112"/>
      <c r="R299" s="112"/>
      <c r="S299" s="112"/>
      <c r="T299" s="112"/>
      <c r="U299" s="112"/>
      <c r="V299" s="114"/>
    </row>
    <row r="300" spans="4:25" ht="32.1" customHeight="1">
      <c r="D300" s="155"/>
      <c r="E300" s="154"/>
      <c r="P300" s="111" t="str">
        <f t="shared" si="1"/>
        <v/>
      </c>
      <c r="Q300" s="112"/>
      <c r="R300" s="112"/>
      <c r="S300" s="112"/>
      <c r="T300" s="112"/>
      <c r="U300" s="112"/>
      <c r="V300" s="120"/>
      <c r="W300" s="112"/>
      <c r="X300" s="112"/>
      <c r="Y300" s="112"/>
    </row>
    <row r="301" spans="4:25" ht="32.1" customHeight="1">
      <c r="D301" s="155"/>
      <c r="E301" s="154"/>
      <c r="P301" s="111" t="str">
        <f t="shared" si="1"/>
        <v/>
      </c>
      <c r="Q301" s="112"/>
      <c r="R301" s="112"/>
      <c r="S301" s="112"/>
      <c r="T301" s="112"/>
      <c r="U301" s="112"/>
      <c r="V301" s="120"/>
      <c r="W301" s="112"/>
      <c r="X301" s="112"/>
      <c r="Y301" s="112"/>
    </row>
    <row r="302" spans="4:25" ht="32.1" customHeight="1">
      <c r="D302" s="155"/>
      <c r="E302" s="154"/>
      <c r="P302" s="111" t="str">
        <f t="shared" si="1"/>
        <v/>
      </c>
      <c r="Q302" s="112"/>
      <c r="R302" s="112"/>
      <c r="S302" s="112"/>
      <c r="T302" s="112"/>
      <c r="U302" s="112"/>
      <c r="V302" s="112"/>
    </row>
    <row r="303" spans="4:25" ht="32.1" customHeight="1">
      <c r="D303" s="155"/>
      <c r="E303" s="154"/>
      <c r="P303" s="111" t="str">
        <f t="shared" si="1"/>
        <v/>
      </c>
      <c r="Q303" s="112"/>
      <c r="R303" s="112"/>
      <c r="S303" s="112"/>
      <c r="T303" s="112"/>
      <c r="U303" s="112"/>
      <c r="V303" s="112"/>
    </row>
    <row r="304" spans="4:25" ht="32.1" customHeight="1">
      <c r="D304" s="155"/>
      <c r="E304" s="154"/>
      <c r="P304" s="111" t="str">
        <f t="shared" si="1"/>
        <v/>
      </c>
      <c r="Q304" s="112"/>
      <c r="R304" s="112"/>
      <c r="S304" s="112"/>
      <c r="T304" s="112"/>
      <c r="U304" s="112"/>
      <c r="V304" s="112"/>
    </row>
    <row r="305" spans="4:22" ht="32.1" customHeight="1">
      <c r="D305" s="155"/>
      <c r="E305" s="154"/>
      <c r="P305" s="111" t="str">
        <f t="shared" si="1"/>
        <v/>
      </c>
      <c r="Q305" s="112"/>
      <c r="R305" s="112"/>
      <c r="S305" s="112"/>
      <c r="T305" s="112"/>
      <c r="U305" s="112"/>
      <c r="V305" s="112"/>
    </row>
    <row r="306" spans="4:22" ht="32.1" customHeight="1">
      <c r="D306" s="155"/>
      <c r="E306" s="154"/>
      <c r="P306" s="111" t="str">
        <f t="shared" si="1"/>
        <v/>
      </c>
      <c r="Q306" s="112"/>
      <c r="R306" s="112"/>
      <c r="S306" s="112"/>
      <c r="T306" s="112"/>
      <c r="U306" s="112"/>
      <c r="V306" s="112"/>
    </row>
    <row r="307" spans="4:22" ht="32.1" customHeight="1">
      <c r="D307" s="155"/>
      <c r="E307" s="154"/>
      <c r="P307" s="111" t="str">
        <f t="shared" si="1"/>
        <v/>
      </c>
      <c r="Q307" s="112"/>
      <c r="R307" s="112"/>
      <c r="S307" s="112"/>
      <c r="T307" s="112"/>
      <c r="U307" s="112"/>
      <c r="V307" s="112"/>
    </row>
    <row r="308" spans="4:22" ht="32.1" customHeight="1">
      <c r="D308" s="155"/>
      <c r="E308" s="154"/>
      <c r="P308" s="111" t="str">
        <f t="shared" si="1"/>
        <v/>
      </c>
      <c r="Q308" s="112"/>
      <c r="R308" s="112"/>
      <c r="S308" s="112"/>
      <c r="T308" s="112"/>
      <c r="U308" s="112"/>
      <c r="V308" s="112"/>
    </row>
    <row r="309" spans="4:22" ht="32.1" customHeight="1">
      <c r="D309" s="155"/>
      <c r="E309" s="154"/>
      <c r="P309" s="111" t="str">
        <f t="shared" si="1"/>
        <v/>
      </c>
      <c r="Q309" s="112"/>
      <c r="R309" s="112"/>
      <c r="S309" s="112"/>
      <c r="T309" s="112"/>
      <c r="U309" s="112"/>
      <c r="V309" s="112"/>
    </row>
    <row r="310" spans="4:22" ht="32.1" customHeight="1">
      <c r="D310" s="155"/>
      <c r="E310" s="154"/>
      <c r="P310" s="111" t="str">
        <f t="shared" si="1"/>
        <v/>
      </c>
      <c r="Q310" s="112"/>
      <c r="R310" s="112"/>
      <c r="S310" s="112"/>
      <c r="T310" s="112"/>
      <c r="U310" s="112"/>
      <c r="V310" s="112"/>
    </row>
    <row r="311" spans="4:22" ht="32.1" customHeight="1">
      <c r="D311" s="155"/>
      <c r="E311" s="154"/>
      <c r="P311" s="111" t="str">
        <f t="shared" si="1"/>
        <v/>
      </c>
      <c r="Q311" s="112"/>
      <c r="R311" s="112"/>
      <c r="S311" s="112"/>
      <c r="T311" s="112"/>
      <c r="U311" s="112"/>
      <c r="V311" s="112"/>
    </row>
    <row r="312" spans="4:22" ht="32.1" customHeight="1">
      <c r="D312" s="155"/>
      <c r="E312" s="154"/>
      <c r="P312" s="111" t="str">
        <f t="shared" si="1"/>
        <v/>
      </c>
      <c r="Q312" s="112"/>
      <c r="R312" s="112"/>
      <c r="S312" s="112"/>
      <c r="T312" s="112"/>
      <c r="U312" s="112"/>
      <c r="V312" s="112"/>
    </row>
    <row r="313" spans="4:22" ht="32.1" customHeight="1">
      <c r="D313" s="155"/>
      <c r="E313" s="154"/>
      <c r="P313" s="111" t="str">
        <f t="shared" si="1"/>
        <v/>
      </c>
      <c r="Q313" s="112"/>
      <c r="R313" s="112"/>
      <c r="S313" s="112"/>
      <c r="T313" s="112"/>
      <c r="U313" s="112"/>
      <c r="V313" s="112"/>
    </row>
    <row r="314" spans="4:22" ht="32.1" customHeight="1">
      <c r="D314" s="155"/>
      <c r="E314" s="154"/>
      <c r="P314" s="111" t="str">
        <f t="shared" si="1"/>
        <v/>
      </c>
      <c r="Q314" s="112"/>
      <c r="R314" s="112"/>
      <c r="S314" s="112"/>
      <c r="T314" s="112"/>
      <c r="U314" s="112"/>
      <c r="V314" s="112"/>
    </row>
    <row r="315" spans="4:22" ht="32.1" customHeight="1">
      <c r="D315" s="155"/>
      <c r="E315" s="154"/>
      <c r="P315" s="111" t="str">
        <f t="shared" si="1"/>
        <v/>
      </c>
      <c r="Q315" s="112"/>
      <c r="R315" s="112"/>
      <c r="S315" s="112"/>
      <c r="T315" s="112"/>
      <c r="U315" s="112"/>
      <c r="V315" s="112"/>
    </row>
    <row r="316" spans="4:22" ht="32.1" customHeight="1">
      <c r="D316" s="155"/>
      <c r="E316" s="154"/>
      <c r="P316" s="111" t="str">
        <f t="shared" si="1"/>
        <v/>
      </c>
      <c r="Q316" s="112"/>
      <c r="R316" s="112"/>
      <c r="S316" s="112"/>
      <c r="T316" s="112"/>
      <c r="U316" s="112"/>
      <c r="V316" s="112"/>
    </row>
    <row r="317" spans="4:22" ht="32.1" customHeight="1">
      <c r="D317" s="155"/>
      <c r="E317" s="154"/>
      <c r="P317" s="111" t="str">
        <f t="shared" si="1"/>
        <v/>
      </c>
      <c r="Q317" s="112"/>
      <c r="R317" s="112"/>
      <c r="S317" s="112"/>
      <c r="T317" s="112"/>
      <c r="U317" s="112"/>
      <c r="V317" s="114"/>
    </row>
    <row r="318" spans="4:22" ht="32.1" customHeight="1">
      <c r="D318" s="155"/>
      <c r="E318" s="154"/>
      <c r="P318" s="111" t="str">
        <f t="shared" si="1"/>
        <v/>
      </c>
      <c r="Q318" s="112"/>
      <c r="R318" s="112"/>
      <c r="S318" s="112"/>
      <c r="T318" s="112"/>
      <c r="U318" s="112"/>
      <c r="V318" s="114"/>
    </row>
    <row r="319" spans="4:22" ht="32.1" customHeight="1">
      <c r="D319" s="155"/>
      <c r="E319" s="154"/>
      <c r="P319" s="111" t="str">
        <f t="shared" si="1"/>
        <v/>
      </c>
      <c r="Q319" s="112"/>
      <c r="R319" s="112"/>
      <c r="S319" s="112"/>
      <c r="T319" s="112"/>
      <c r="U319" s="112"/>
      <c r="V319" s="114"/>
    </row>
    <row r="320" spans="4:22" ht="32.1" customHeight="1">
      <c r="D320" s="155"/>
      <c r="E320" s="154"/>
      <c r="P320" s="111" t="str">
        <f t="shared" si="1"/>
        <v/>
      </c>
      <c r="Q320" s="112"/>
      <c r="R320" s="112"/>
      <c r="S320" s="112"/>
      <c r="T320" s="112"/>
      <c r="U320" s="112"/>
      <c r="V320" s="114"/>
    </row>
    <row r="321" spans="4:25" ht="32.1" customHeight="1">
      <c r="D321" s="155"/>
      <c r="E321" s="154"/>
      <c r="P321" s="111" t="str">
        <f t="shared" si="1"/>
        <v/>
      </c>
      <c r="Q321" s="112"/>
      <c r="R321" s="112"/>
      <c r="S321" s="112"/>
      <c r="T321" s="112"/>
      <c r="U321" s="112"/>
      <c r="V321" s="120"/>
      <c r="W321" s="112"/>
      <c r="X321" s="112"/>
      <c r="Y321" s="112"/>
    </row>
    <row r="322" spans="4:25" ht="32.1" customHeight="1">
      <c r="D322" s="155"/>
      <c r="E322" s="154"/>
      <c r="P322" s="111" t="str">
        <f t="shared" si="1"/>
        <v/>
      </c>
      <c r="Q322" s="112"/>
      <c r="R322" s="112"/>
      <c r="S322" s="112"/>
      <c r="T322" s="112"/>
      <c r="U322" s="112"/>
      <c r="V322" s="120"/>
      <c r="W322" s="112"/>
      <c r="X322" s="112"/>
      <c r="Y322" s="112"/>
    </row>
    <row r="323" spans="4:25" ht="32.1" customHeight="1">
      <c r="D323" s="155"/>
      <c r="E323" s="154"/>
      <c r="P323" s="111" t="str">
        <f t="shared" si="1"/>
        <v/>
      </c>
      <c r="Q323" s="112"/>
      <c r="R323" s="112"/>
      <c r="S323" s="112"/>
      <c r="T323" s="112"/>
      <c r="U323" s="112"/>
      <c r="V323" s="112"/>
    </row>
    <row r="324" spans="4:25" ht="32.1" customHeight="1">
      <c r="D324" s="155"/>
      <c r="E324" s="154"/>
      <c r="P324" s="111" t="str">
        <f t="shared" si="1"/>
        <v/>
      </c>
      <c r="Q324" s="112"/>
      <c r="R324" s="112"/>
      <c r="S324" s="112"/>
      <c r="T324" s="112"/>
      <c r="U324" s="112"/>
      <c r="V324" s="112"/>
    </row>
    <row r="325" spans="4:25" ht="32.1" customHeight="1">
      <c r="D325" s="155"/>
      <c r="E325" s="154"/>
      <c r="P325" s="111" t="str">
        <f t="shared" si="1"/>
        <v/>
      </c>
      <c r="Q325" s="112"/>
      <c r="R325" s="112"/>
      <c r="S325" s="112"/>
      <c r="T325" s="112"/>
      <c r="U325" s="112"/>
      <c r="V325" s="112"/>
    </row>
    <row r="326" spans="4:25" ht="32.1" customHeight="1">
      <c r="D326" s="155"/>
      <c r="E326" s="154"/>
      <c r="P326" s="111" t="str">
        <f t="shared" si="1"/>
        <v/>
      </c>
      <c r="Q326" s="112"/>
      <c r="R326" s="112"/>
      <c r="S326" s="112"/>
      <c r="T326" s="112"/>
      <c r="U326" s="112"/>
      <c r="V326" s="112"/>
    </row>
    <row r="327" spans="4:25" ht="32.1" customHeight="1">
      <c r="D327" s="155"/>
      <c r="E327" s="154"/>
      <c r="P327" s="111" t="str">
        <f t="shared" si="1"/>
        <v/>
      </c>
      <c r="Q327" s="112"/>
      <c r="R327" s="112"/>
      <c r="S327" s="112"/>
      <c r="T327" s="112"/>
      <c r="U327" s="112"/>
      <c r="V327" s="112"/>
    </row>
    <row r="328" spans="4:25" ht="32.1" customHeight="1">
      <c r="D328" s="155"/>
      <c r="E328" s="154"/>
      <c r="P328" s="111" t="str">
        <f t="shared" si="1"/>
        <v/>
      </c>
      <c r="Q328" s="112"/>
      <c r="R328" s="112"/>
      <c r="S328" s="112"/>
      <c r="T328" s="112"/>
      <c r="U328" s="112"/>
      <c r="V328" s="112"/>
    </row>
    <row r="329" spans="4:25" ht="32.1" customHeight="1">
      <c r="D329" s="155"/>
      <c r="E329" s="154"/>
      <c r="P329" s="111" t="str">
        <f t="shared" si="1"/>
        <v/>
      </c>
      <c r="Q329" s="112"/>
      <c r="R329" s="112"/>
      <c r="S329" s="112"/>
      <c r="T329" s="112"/>
      <c r="U329" s="112"/>
      <c r="V329" s="112"/>
    </row>
    <row r="330" spans="4:25" ht="32.1" customHeight="1">
      <c r="D330" s="155"/>
      <c r="E330" s="154"/>
      <c r="P330" s="111" t="str">
        <f t="shared" si="1"/>
        <v/>
      </c>
      <c r="Q330" s="112"/>
      <c r="R330" s="112"/>
      <c r="S330" s="112"/>
      <c r="T330" s="112"/>
      <c r="U330" s="112"/>
      <c r="V330" s="112"/>
    </row>
    <row r="331" spans="4:25" ht="32.1" customHeight="1">
      <c r="D331" s="155"/>
      <c r="E331" s="154"/>
      <c r="P331" s="111" t="str">
        <f t="shared" si="1"/>
        <v/>
      </c>
      <c r="Q331" s="112"/>
      <c r="R331" s="112"/>
      <c r="S331" s="112"/>
      <c r="T331" s="112"/>
      <c r="U331" s="112"/>
      <c r="V331" s="112"/>
    </row>
    <row r="332" spans="4:25" ht="32.1" customHeight="1">
      <c r="D332" s="155"/>
      <c r="E332" s="154"/>
      <c r="P332" s="111" t="str">
        <f t="shared" si="1"/>
        <v/>
      </c>
      <c r="Q332" s="112"/>
      <c r="R332" s="112"/>
      <c r="S332" s="112"/>
      <c r="T332" s="112"/>
      <c r="U332" s="112"/>
      <c r="V332" s="112"/>
    </row>
    <row r="333" spans="4:25" ht="32.1" customHeight="1">
      <c r="D333" s="155"/>
      <c r="E333" s="154"/>
      <c r="P333" s="111" t="str">
        <f t="shared" si="1"/>
        <v/>
      </c>
      <c r="Q333" s="112"/>
      <c r="R333" s="112"/>
      <c r="S333" s="112"/>
      <c r="T333" s="112"/>
      <c r="U333" s="112"/>
      <c r="V333" s="112"/>
    </row>
    <row r="334" spans="4:25" ht="32.1" customHeight="1">
      <c r="D334" s="155"/>
      <c r="E334" s="154"/>
      <c r="P334" s="111" t="str">
        <f t="shared" si="1"/>
        <v/>
      </c>
      <c r="Q334" s="112"/>
      <c r="R334" s="112"/>
      <c r="S334" s="112"/>
      <c r="T334" s="112"/>
      <c r="U334" s="112"/>
      <c r="V334" s="112"/>
    </row>
    <row r="335" spans="4:25" ht="32.1" customHeight="1">
      <c r="D335" s="155"/>
      <c r="E335" s="154"/>
      <c r="P335" s="111" t="str">
        <f t="shared" si="1"/>
        <v/>
      </c>
      <c r="Q335" s="112"/>
      <c r="R335" s="112"/>
      <c r="S335" s="112"/>
      <c r="T335" s="112"/>
      <c r="U335" s="112"/>
      <c r="V335" s="112"/>
    </row>
    <row r="336" spans="4:25" ht="32.1" customHeight="1">
      <c r="D336" s="155"/>
      <c r="E336" s="154"/>
      <c r="P336" s="111" t="str">
        <f t="shared" si="1"/>
        <v/>
      </c>
      <c r="Q336" s="112"/>
      <c r="R336" s="112"/>
      <c r="S336" s="112"/>
      <c r="T336" s="112"/>
      <c r="U336" s="112"/>
      <c r="V336" s="112"/>
    </row>
    <row r="337" spans="4:25" ht="32.1" customHeight="1">
      <c r="D337" s="155"/>
      <c r="E337" s="154"/>
      <c r="P337" s="111" t="str">
        <f t="shared" si="1"/>
        <v/>
      </c>
      <c r="Q337" s="112"/>
      <c r="R337" s="112"/>
      <c r="S337" s="112"/>
      <c r="T337" s="112"/>
      <c r="U337" s="112"/>
      <c r="V337" s="112"/>
    </row>
    <row r="338" spans="4:25" ht="32.1" customHeight="1">
      <c r="D338" s="155"/>
      <c r="E338" s="154"/>
      <c r="P338" s="111" t="str">
        <f t="shared" ref="P338:P385" si="2">CONCATENATE(C338,H338)</f>
        <v/>
      </c>
      <c r="Q338" s="112"/>
      <c r="R338" s="112"/>
      <c r="S338" s="112"/>
      <c r="T338" s="112"/>
      <c r="U338" s="112"/>
      <c r="V338" s="114"/>
    </row>
    <row r="339" spans="4:25" ht="32.1" customHeight="1">
      <c r="D339" s="155"/>
      <c r="E339" s="154"/>
      <c r="P339" s="111" t="str">
        <f t="shared" si="2"/>
        <v/>
      </c>
      <c r="Q339" s="112"/>
      <c r="R339" s="112"/>
      <c r="S339" s="112"/>
      <c r="T339" s="112"/>
      <c r="U339" s="112"/>
      <c r="V339" s="114"/>
    </row>
    <row r="340" spans="4:25" ht="32.1" customHeight="1">
      <c r="D340" s="155"/>
      <c r="E340" s="154"/>
      <c r="P340" s="111" t="str">
        <f t="shared" si="2"/>
        <v/>
      </c>
      <c r="Q340" s="112"/>
      <c r="R340" s="112"/>
      <c r="S340" s="112"/>
      <c r="T340" s="112"/>
      <c r="U340" s="112"/>
      <c r="V340" s="114"/>
    </row>
    <row r="341" spans="4:25" ht="32.1" customHeight="1">
      <c r="D341" s="155"/>
      <c r="E341" s="154"/>
      <c r="P341" s="111" t="str">
        <f t="shared" si="2"/>
        <v/>
      </c>
      <c r="Q341" s="112"/>
      <c r="R341" s="112"/>
      <c r="S341" s="112"/>
      <c r="T341" s="112"/>
      <c r="U341" s="112"/>
      <c r="V341" s="114"/>
    </row>
    <row r="342" spans="4:25" ht="32.1" customHeight="1">
      <c r="D342" s="155"/>
      <c r="E342" s="154"/>
      <c r="P342" s="111" t="str">
        <f t="shared" si="2"/>
        <v/>
      </c>
      <c r="Q342" s="112"/>
      <c r="R342" s="112"/>
      <c r="S342" s="112"/>
      <c r="T342" s="112"/>
      <c r="U342" s="112"/>
      <c r="V342" s="120"/>
      <c r="W342" s="112"/>
      <c r="X342" s="112"/>
      <c r="Y342" s="112"/>
    </row>
    <row r="343" spans="4:25" ht="32.1" customHeight="1">
      <c r="D343" s="155"/>
      <c r="E343" s="154"/>
      <c r="P343" s="111" t="str">
        <f t="shared" si="2"/>
        <v/>
      </c>
      <c r="Q343" s="112"/>
      <c r="R343" s="112"/>
      <c r="S343" s="112"/>
      <c r="T343" s="112"/>
      <c r="U343" s="112"/>
      <c r="V343" s="120"/>
      <c r="W343" s="112"/>
      <c r="X343" s="112"/>
      <c r="Y343" s="112"/>
    </row>
    <row r="344" spans="4:25" ht="32.1" customHeight="1">
      <c r="D344" s="155"/>
      <c r="E344" s="154"/>
      <c r="P344" s="111" t="str">
        <f t="shared" si="2"/>
        <v/>
      </c>
      <c r="Q344" s="112"/>
      <c r="R344" s="112"/>
      <c r="S344" s="112"/>
      <c r="T344" s="112"/>
      <c r="U344" s="112"/>
      <c r="V344" s="112"/>
    </row>
    <row r="345" spans="4:25" ht="32.1" customHeight="1">
      <c r="D345" s="155"/>
      <c r="E345" s="154"/>
      <c r="P345" s="111" t="str">
        <f t="shared" si="2"/>
        <v/>
      </c>
      <c r="Q345" s="112"/>
      <c r="R345" s="112"/>
      <c r="S345" s="112"/>
      <c r="T345" s="112"/>
      <c r="U345" s="112"/>
      <c r="V345" s="112"/>
    </row>
    <row r="346" spans="4:25" ht="32.1" customHeight="1">
      <c r="D346" s="155"/>
      <c r="E346" s="154"/>
      <c r="P346" s="111" t="str">
        <f t="shared" si="2"/>
        <v/>
      </c>
      <c r="Q346" s="112"/>
      <c r="R346" s="112"/>
      <c r="S346" s="112"/>
      <c r="T346" s="112"/>
      <c r="U346" s="112"/>
      <c r="V346" s="112"/>
    </row>
    <row r="347" spans="4:25" ht="32.1" customHeight="1">
      <c r="D347" s="155"/>
      <c r="E347" s="154"/>
      <c r="P347" s="111" t="str">
        <f t="shared" si="2"/>
        <v/>
      </c>
      <c r="Q347" s="112"/>
      <c r="R347" s="112"/>
      <c r="S347" s="112"/>
      <c r="T347" s="112"/>
      <c r="U347" s="112"/>
      <c r="V347" s="112"/>
    </row>
    <row r="348" spans="4:25" ht="32.1" customHeight="1">
      <c r="D348" s="155"/>
      <c r="E348" s="154"/>
      <c r="P348" s="111" t="str">
        <f t="shared" si="2"/>
        <v/>
      </c>
      <c r="Q348" s="112"/>
      <c r="R348" s="112"/>
      <c r="S348" s="112"/>
      <c r="T348" s="112"/>
      <c r="U348" s="112"/>
      <c r="V348" s="112"/>
    </row>
    <row r="349" spans="4:25" ht="32.1" customHeight="1">
      <c r="D349" s="155"/>
      <c r="E349" s="154"/>
      <c r="P349" s="111" t="str">
        <f t="shared" si="2"/>
        <v/>
      </c>
      <c r="Q349" s="112"/>
      <c r="R349" s="112"/>
      <c r="S349" s="112"/>
      <c r="T349" s="112"/>
      <c r="U349" s="112"/>
      <c r="V349" s="112"/>
    </row>
    <row r="350" spans="4:25" ht="32.1" customHeight="1">
      <c r="D350" s="155"/>
      <c r="E350" s="154"/>
      <c r="P350" s="111" t="str">
        <f t="shared" si="2"/>
        <v/>
      </c>
      <c r="Q350" s="112"/>
      <c r="R350" s="112"/>
      <c r="S350" s="112"/>
      <c r="T350" s="112"/>
      <c r="U350" s="112"/>
      <c r="V350" s="112"/>
    </row>
    <row r="351" spans="4:25" ht="32.1" customHeight="1">
      <c r="D351" s="155"/>
      <c r="E351" s="154"/>
      <c r="P351" s="111" t="str">
        <f t="shared" si="2"/>
        <v/>
      </c>
      <c r="Q351" s="112"/>
      <c r="R351" s="112"/>
      <c r="S351" s="112"/>
      <c r="T351" s="112"/>
      <c r="U351" s="112"/>
      <c r="V351" s="112"/>
    </row>
    <row r="352" spans="4:25" ht="32.1" customHeight="1">
      <c r="D352" s="155"/>
      <c r="E352" s="154"/>
      <c r="P352" s="111" t="str">
        <f t="shared" si="2"/>
        <v/>
      </c>
      <c r="Q352" s="112"/>
      <c r="R352" s="112"/>
      <c r="S352" s="112"/>
      <c r="T352" s="112"/>
      <c r="U352" s="112"/>
      <c r="V352" s="112"/>
    </row>
    <row r="353" spans="4:25" ht="32.1" customHeight="1">
      <c r="D353" s="155"/>
      <c r="E353" s="154"/>
      <c r="P353" s="111" t="str">
        <f t="shared" si="2"/>
        <v/>
      </c>
      <c r="Q353" s="112"/>
      <c r="R353" s="112"/>
      <c r="S353" s="112"/>
      <c r="T353" s="112"/>
      <c r="U353" s="112"/>
      <c r="V353" s="112"/>
    </row>
    <row r="354" spans="4:25" ht="32.1" customHeight="1">
      <c r="D354" s="155"/>
      <c r="E354" s="154"/>
      <c r="P354" s="111" t="str">
        <f t="shared" si="2"/>
        <v/>
      </c>
      <c r="Q354" s="112"/>
      <c r="R354" s="112"/>
      <c r="S354" s="112"/>
      <c r="T354" s="112"/>
      <c r="U354" s="112"/>
      <c r="V354" s="112"/>
    </row>
    <row r="355" spans="4:25" ht="32.1" customHeight="1">
      <c r="D355" s="155"/>
      <c r="E355" s="154"/>
      <c r="P355" s="111" t="str">
        <f t="shared" si="2"/>
        <v/>
      </c>
      <c r="Q355" s="112"/>
      <c r="R355" s="112"/>
      <c r="S355" s="112"/>
      <c r="T355" s="112"/>
      <c r="U355" s="112"/>
      <c r="V355" s="112"/>
    </row>
    <row r="356" spans="4:25" ht="32.1" customHeight="1">
      <c r="D356" s="155"/>
      <c r="E356" s="154"/>
      <c r="P356" s="111" t="str">
        <f t="shared" si="2"/>
        <v/>
      </c>
      <c r="Q356" s="112"/>
      <c r="R356" s="112"/>
      <c r="S356" s="112"/>
      <c r="T356" s="112"/>
      <c r="U356" s="112"/>
      <c r="V356" s="112"/>
    </row>
    <row r="357" spans="4:25" ht="32.1" customHeight="1">
      <c r="D357" s="155"/>
      <c r="E357" s="154"/>
      <c r="P357" s="111" t="str">
        <f t="shared" si="2"/>
        <v/>
      </c>
      <c r="Q357" s="112"/>
      <c r="R357" s="112"/>
      <c r="S357" s="112"/>
      <c r="T357" s="112"/>
      <c r="U357" s="112"/>
      <c r="V357" s="112"/>
    </row>
    <row r="358" spans="4:25" ht="32.1" customHeight="1">
      <c r="D358" s="155"/>
      <c r="E358" s="154"/>
      <c r="P358" s="111" t="str">
        <f t="shared" si="2"/>
        <v/>
      </c>
      <c r="Q358" s="112"/>
      <c r="R358" s="112"/>
      <c r="S358" s="112"/>
      <c r="T358" s="112"/>
      <c r="U358" s="112"/>
      <c r="V358" s="112"/>
    </row>
    <row r="359" spans="4:25" ht="32.1" customHeight="1">
      <c r="D359" s="155"/>
      <c r="E359" s="154"/>
      <c r="P359" s="111" t="str">
        <f t="shared" si="2"/>
        <v/>
      </c>
      <c r="Q359" s="112"/>
      <c r="R359" s="112"/>
      <c r="S359" s="112"/>
      <c r="T359" s="112"/>
      <c r="U359" s="112"/>
      <c r="V359" s="114"/>
    </row>
    <row r="360" spans="4:25" ht="32.1" customHeight="1">
      <c r="D360" s="155"/>
      <c r="E360" s="154"/>
      <c r="P360" s="111" t="str">
        <f t="shared" si="2"/>
        <v/>
      </c>
      <c r="Q360" s="112"/>
      <c r="R360" s="112"/>
      <c r="S360" s="112"/>
      <c r="T360" s="112"/>
      <c r="U360" s="112"/>
      <c r="V360" s="114"/>
    </row>
    <row r="361" spans="4:25" ht="32.1" customHeight="1">
      <c r="D361" s="155"/>
      <c r="E361" s="154"/>
      <c r="P361" s="111" t="str">
        <f t="shared" si="2"/>
        <v/>
      </c>
      <c r="Q361" s="112"/>
      <c r="R361" s="112"/>
      <c r="S361" s="112"/>
      <c r="T361" s="112"/>
      <c r="U361" s="112"/>
      <c r="V361" s="114"/>
    </row>
    <row r="362" spans="4:25" ht="32.1" customHeight="1">
      <c r="D362" s="155"/>
      <c r="E362" s="154"/>
      <c r="P362" s="111" t="str">
        <f t="shared" si="2"/>
        <v/>
      </c>
      <c r="Q362" s="112"/>
      <c r="R362" s="112"/>
      <c r="S362" s="112"/>
      <c r="T362" s="112"/>
      <c r="U362" s="112"/>
      <c r="V362" s="114"/>
    </row>
    <row r="363" spans="4:25" ht="32.1" customHeight="1">
      <c r="D363" s="155"/>
      <c r="E363" s="154"/>
      <c r="P363" s="111" t="str">
        <f t="shared" si="2"/>
        <v/>
      </c>
      <c r="Q363" s="112"/>
      <c r="R363" s="112"/>
      <c r="S363" s="112"/>
      <c r="T363" s="112"/>
      <c r="U363" s="112"/>
      <c r="V363" s="120"/>
      <c r="W363" s="112"/>
      <c r="X363" s="112"/>
      <c r="Y363" s="112"/>
    </row>
    <row r="364" spans="4:25" ht="32.1" customHeight="1">
      <c r="D364" s="155"/>
      <c r="E364" s="154"/>
      <c r="P364" s="111" t="str">
        <f t="shared" si="2"/>
        <v/>
      </c>
      <c r="Q364" s="112"/>
      <c r="R364" s="112"/>
      <c r="S364" s="112"/>
      <c r="T364" s="112"/>
      <c r="U364" s="112"/>
      <c r="V364" s="120"/>
      <c r="W364" s="112"/>
      <c r="X364" s="112"/>
      <c r="Y364" s="112"/>
    </row>
    <row r="365" spans="4:25" ht="32.1" customHeight="1">
      <c r="D365" s="155"/>
      <c r="E365" s="154"/>
      <c r="P365" s="111" t="str">
        <f t="shared" si="2"/>
        <v/>
      </c>
      <c r="Q365" s="112"/>
      <c r="R365" s="112"/>
      <c r="S365" s="112"/>
      <c r="T365" s="112"/>
      <c r="U365" s="112"/>
      <c r="V365" s="112"/>
    </row>
    <row r="366" spans="4:25" ht="32.1" customHeight="1">
      <c r="D366" s="155"/>
      <c r="E366" s="154"/>
      <c r="P366" s="111" t="str">
        <f t="shared" si="2"/>
        <v/>
      </c>
      <c r="Q366" s="112"/>
      <c r="R366" s="112"/>
      <c r="S366" s="112"/>
      <c r="T366" s="112"/>
      <c r="U366" s="112"/>
      <c r="V366" s="112"/>
    </row>
    <row r="367" spans="4:25" ht="32.1" customHeight="1">
      <c r="D367" s="155"/>
      <c r="E367" s="154"/>
      <c r="P367" s="111" t="str">
        <f t="shared" si="2"/>
        <v/>
      </c>
      <c r="Q367" s="112"/>
      <c r="R367" s="112"/>
      <c r="S367" s="112"/>
      <c r="T367" s="112"/>
      <c r="U367" s="112"/>
      <c r="V367" s="112"/>
    </row>
    <row r="368" spans="4:25" ht="32.1" customHeight="1">
      <c r="D368" s="155"/>
      <c r="E368" s="154"/>
      <c r="P368" s="111" t="str">
        <f t="shared" si="2"/>
        <v/>
      </c>
      <c r="Q368" s="112"/>
      <c r="R368" s="112"/>
      <c r="S368" s="112"/>
      <c r="T368" s="112"/>
      <c r="U368" s="112"/>
      <c r="V368" s="112"/>
    </row>
    <row r="369" spans="4:25" ht="32.1" customHeight="1">
      <c r="D369" s="155"/>
      <c r="E369" s="154"/>
      <c r="P369" s="111" t="str">
        <f t="shared" si="2"/>
        <v/>
      </c>
      <c r="Q369" s="112"/>
      <c r="R369" s="112"/>
      <c r="S369" s="112"/>
      <c r="T369" s="112"/>
      <c r="U369" s="112"/>
      <c r="V369" s="112"/>
    </row>
    <row r="370" spans="4:25" ht="32.1" customHeight="1">
      <c r="D370" s="155"/>
      <c r="E370" s="154"/>
      <c r="P370" s="111" t="str">
        <f t="shared" si="2"/>
        <v/>
      </c>
      <c r="Q370" s="112"/>
      <c r="R370" s="112"/>
      <c r="S370" s="112"/>
      <c r="T370" s="112"/>
      <c r="U370" s="112"/>
      <c r="V370" s="112"/>
    </row>
    <row r="371" spans="4:25" ht="32.1" customHeight="1">
      <c r="D371" s="155"/>
      <c r="E371" s="154"/>
      <c r="P371" s="111" t="str">
        <f t="shared" si="2"/>
        <v/>
      </c>
      <c r="Q371" s="112"/>
      <c r="R371" s="112"/>
      <c r="S371" s="112"/>
      <c r="T371" s="112"/>
      <c r="U371" s="112"/>
      <c r="V371" s="112"/>
    </row>
    <row r="372" spans="4:25" ht="32.1" customHeight="1">
      <c r="D372" s="155"/>
      <c r="E372" s="154"/>
      <c r="P372" s="111" t="str">
        <f t="shared" si="2"/>
        <v/>
      </c>
      <c r="Q372" s="112"/>
      <c r="R372" s="112"/>
      <c r="S372" s="112"/>
      <c r="T372" s="112"/>
      <c r="U372" s="112"/>
      <c r="V372" s="112"/>
    </row>
    <row r="373" spans="4:25" ht="32.1" customHeight="1">
      <c r="D373" s="155"/>
      <c r="E373" s="154"/>
      <c r="P373" s="111" t="str">
        <f t="shared" si="2"/>
        <v/>
      </c>
      <c r="Q373" s="112"/>
      <c r="R373" s="112"/>
      <c r="S373" s="112"/>
      <c r="T373" s="112"/>
      <c r="U373" s="112"/>
      <c r="V373" s="112"/>
    </row>
    <row r="374" spans="4:25" ht="32.1" customHeight="1">
      <c r="D374" s="155"/>
      <c r="E374" s="154"/>
      <c r="P374" s="111" t="str">
        <f t="shared" si="2"/>
        <v/>
      </c>
      <c r="Q374" s="112"/>
      <c r="R374" s="112"/>
      <c r="S374" s="112"/>
      <c r="T374" s="112"/>
      <c r="U374" s="112"/>
      <c r="V374" s="112"/>
    </row>
    <row r="375" spans="4:25" ht="32.1" customHeight="1">
      <c r="D375" s="155"/>
      <c r="E375" s="154"/>
      <c r="P375" s="111" t="str">
        <f t="shared" si="2"/>
        <v/>
      </c>
      <c r="Q375" s="112"/>
      <c r="R375" s="112"/>
      <c r="S375" s="112"/>
      <c r="T375" s="112"/>
      <c r="U375" s="112"/>
      <c r="V375" s="112"/>
    </row>
    <row r="376" spans="4:25" ht="32.1" customHeight="1">
      <c r="D376" s="155"/>
      <c r="E376" s="154"/>
      <c r="P376" s="111" t="str">
        <f t="shared" si="2"/>
        <v/>
      </c>
      <c r="Q376" s="112"/>
      <c r="R376" s="112"/>
      <c r="S376" s="112"/>
      <c r="T376" s="112"/>
      <c r="U376" s="112"/>
      <c r="V376" s="112"/>
    </row>
    <row r="377" spans="4:25" ht="32.1" customHeight="1">
      <c r="D377" s="155"/>
      <c r="E377" s="154"/>
      <c r="P377" s="111" t="str">
        <f t="shared" si="2"/>
        <v/>
      </c>
      <c r="Q377" s="112"/>
      <c r="R377" s="112"/>
      <c r="S377" s="112"/>
      <c r="T377" s="112"/>
      <c r="U377" s="112"/>
      <c r="V377" s="112"/>
    </row>
    <row r="378" spans="4:25" ht="32.1" customHeight="1">
      <c r="D378" s="155"/>
      <c r="E378" s="154"/>
      <c r="P378" s="111" t="str">
        <f t="shared" si="2"/>
        <v/>
      </c>
      <c r="Q378" s="112"/>
      <c r="R378" s="112"/>
      <c r="S378" s="112"/>
      <c r="T378" s="112"/>
      <c r="U378" s="112"/>
      <c r="V378" s="112"/>
    </row>
    <row r="379" spans="4:25" ht="32.1" customHeight="1">
      <c r="D379" s="155"/>
      <c r="E379" s="154"/>
      <c r="P379" s="111" t="str">
        <f t="shared" si="2"/>
        <v/>
      </c>
      <c r="Q379" s="112"/>
      <c r="R379" s="112"/>
      <c r="S379" s="112"/>
      <c r="T379" s="112"/>
      <c r="U379" s="112"/>
      <c r="V379" s="112"/>
    </row>
    <row r="380" spans="4:25" ht="32.1" customHeight="1">
      <c r="D380" s="155"/>
      <c r="E380" s="154"/>
      <c r="P380" s="111" t="str">
        <f t="shared" si="2"/>
        <v/>
      </c>
      <c r="Q380" s="112"/>
      <c r="R380" s="112"/>
      <c r="S380" s="112"/>
      <c r="T380" s="112"/>
      <c r="U380" s="112"/>
      <c r="V380" s="114"/>
    </row>
    <row r="381" spans="4:25" ht="32.1" customHeight="1">
      <c r="D381" s="155"/>
      <c r="E381" s="154"/>
      <c r="P381" s="111" t="str">
        <f t="shared" si="2"/>
        <v/>
      </c>
      <c r="Q381" s="112"/>
      <c r="R381" s="112"/>
      <c r="S381" s="112"/>
      <c r="T381" s="112"/>
      <c r="U381" s="112"/>
      <c r="V381" s="114"/>
    </row>
    <row r="382" spans="4:25" ht="32.1" customHeight="1">
      <c r="D382" s="155"/>
      <c r="E382" s="154"/>
      <c r="P382" s="111" t="str">
        <f t="shared" si="2"/>
        <v/>
      </c>
      <c r="Q382" s="112"/>
      <c r="R382" s="112"/>
      <c r="S382" s="112"/>
      <c r="T382" s="112"/>
      <c r="U382" s="112"/>
      <c r="V382" s="114"/>
    </row>
    <row r="383" spans="4:25" ht="32.1" customHeight="1">
      <c r="D383" s="155"/>
      <c r="E383" s="154"/>
      <c r="P383" s="111" t="str">
        <f t="shared" si="2"/>
        <v/>
      </c>
      <c r="Q383" s="112"/>
      <c r="R383" s="112"/>
      <c r="S383" s="112"/>
      <c r="T383" s="112"/>
      <c r="U383" s="112"/>
      <c r="V383" s="114"/>
    </row>
    <row r="384" spans="4:25" ht="32.1" customHeight="1">
      <c r="D384" s="155"/>
      <c r="E384" s="154"/>
      <c r="P384" s="111" t="str">
        <f t="shared" si="2"/>
        <v/>
      </c>
      <c r="Q384" s="112"/>
      <c r="R384" s="112"/>
      <c r="S384" s="112"/>
      <c r="T384" s="112"/>
      <c r="U384" s="112"/>
      <c r="V384" s="120"/>
      <c r="W384" s="112"/>
      <c r="X384" s="112"/>
      <c r="Y384" s="112"/>
    </row>
    <row r="385" spans="4:25" ht="32.1" customHeight="1">
      <c r="D385" s="155"/>
      <c r="E385" s="154"/>
      <c r="P385" s="111" t="str">
        <f t="shared" si="2"/>
        <v/>
      </c>
      <c r="Q385" s="112"/>
      <c r="R385" s="112"/>
      <c r="S385" s="112"/>
      <c r="T385" s="112"/>
      <c r="U385" s="112"/>
      <c r="V385" s="120"/>
      <c r="W385" s="112"/>
      <c r="X385" s="112"/>
      <c r="Y385" s="112"/>
    </row>
    <row r="386" spans="4:25" ht="32.1" hidden="1" customHeight="1">
      <c r="D386" s="155"/>
      <c r="E386" s="154"/>
      <c r="Q386" s="123"/>
      <c r="R386" s="123"/>
      <c r="S386" s="123"/>
      <c r="T386" s="123"/>
      <c r="U386" s="123"/>
      <c r="V386" s="123"/>
    </row>
    <row r="387" spans="4:25" ht="32.1" hidden="1" customHeight="1">
      <c r="D387" s="155"/>
      <c r="E387" s="154"/>
      <c r="Q387" s="123"/>
      <c r="R387" s="123"/>
      <c r="S387" s="123"/>
      <c r="T387" s="123"/>
      <c r="U387" s="123"/>
      <c r="V387" s="123"/>
    </row>
    <row r="388" spans="4:25" ht="32.1" hidden="1" customHeight="1">
      <c r="D388" s="155"/>
      <c r="E388" s="154"/>
    </row>
    <row r="389" spans="4:25" ht="32.1" hidden="1" customHeight="1">
      <c r="D389" s="155"/>
      <c r="E389" s="154"/>
    </row>
    <row r="390" spans="4:25" ht="32.1" hidden="1" customHeight="1">
      <c r="D390" s="155"/>
      <c r="E390" s="154"/>
    </row>
    <row r="391" spans="4:25" ht="32.1" hidden="1" customHeight="1">
      <c r="D391" s="155"/>
      <c r="E391" s="154"/>
    </row>
    <row r="392" spans="4:25" ht="32.1" hidden="1" customHeight="1">
      <c r="D392" s="155"/>
      <c r="E392" s="154"/>
    </row>
    <row r="393" spans="4:25" ht="32.1" hidden="1" customHeight="1">
      <c r="D393" s="155"/>
      <c r="E393" s="154"/>
    </row>
    <row r="394" spans="4:25" ht="32.1" hidden="1" customHeight="1">
      <c r="D394" s="155"/>
      <c r="E394" s="154"/>
    </row>
    <row r="395" spans="4:25" ht="32.1" hidden="1" customHeight="1">
      <c r="D395" s="155"/>
      <c r="E395" s="154"/>
    </row>
    <row r="396" spans="4:25" ht="32.1" hidden="1" customHeight="1">
      <c r="D396" s="155"/>
      <c r="E396" s="154"/>
    </row>
    <row r="397" spans="4:25" ht="32.1" hidden="1" customHeight="1">
      <c r="D397" s="155"/>
      <c r="E397" s="154"/>
    </row>
    <row r="398" spans="4:25" ht="32.1" hidden="1" customHeight="1">
      <c r="D398" s="155"/>
      <c r="E398" s="154"/>
    </row>
    <row r="399" spans="4:25" ht="32.1" hidden="1" customHeight="1">
      <c r="D399" s="155"/>
      <c r="E399" s="154"/>
    </row>
    <row r="400" spans="4:25" ht="32.1" hidden="1" customHeight="1">
      <c r="D400" s="155"/>
      <c r="E400" s="154"/>
    </row>
    <row r="401" spans="4:5" ht="32.1" hidden="1" customHeight="1">
      <c r="D401" s="155"/>
      <c r="E401" s="154"/>
    </row>
    <row r="402" spans="4:5" ht="32.1" hidden="1" customHeight="1">
      <c r="D402" s="155"/>
      <c r="E402" s="154"/>
    </row>
    <row r="403" spans="4:5" ht="32.1" hidden="1" customHeight="1">
      <c r="D403" s="155"/>
      <c r="E403" s="154"/>
    </row>
    <row r="404" spans="4:5" ht="32.1" hidden="1" customHeight="1">
      <c r="D404" s="155"/>
      <c r="E404" s="154"/>
    </row>
    <row r="405" spans="4:5" ht="32.1" hidden="1" customHeight="1">
      <c r="D405" s="155"/>
      <c r="E405" s="154"/>
    </row>
    <row r="406" spans="4:5" ht="32.1" hidden="1" customHeight="1">
      <c r="D406" s="155"/>
      <c r="E406" s="154"/>
    </row>
    <row r="407" spans="4:5" ht="32.1" hidden="1" customHeight="1">
      <c r="D407" s="155"/>
      <c r="E407" s="154"/>
    </row>
    <row r="408" spans="4:5" ht="32.1" hidden="1" customHeight="1">
      <c r="D408" s="155"/>
      <c r="E408" s="154"/>
    </row>
    <row r="409" spans="4:5" ht="32.1" hidden="1" customHeight="1">
      <c r="D409" s="155"/>
      <c r="E409" s="154"/>
    </row>
    <row r="410" spans="4:5" ht="32.1" hidden="1" customHeight="1">
      <c r="D410" s="155"/>
      <c r="E410" s="154"/>
    </row>
    <row r="411" spans="4:5" ht="32.1" hidden="1" customHeight="1">
      <c r="D411" s="155"/>
      <c r="E411" s="154"/>
    </row>
    <row r="412" spans="4:5" ht="32.1" hidden="1" customHeight="1">
      <c r="D412" s="155"/>
      <c r="E412" s="154"/>
    </row>
    <row r="413" spans="4:5" ht="32.1" hidden="1" customHeight="1">
      <c r="D413" s="155"/>
      <c r="E413" s="154"/>
    </row>
    <row r="414" spans="4:5" ht="32.1" hidden="1" customHeight="1">
      <c r="D414" s="155"/>
      <c r="E414" s="154"/>
    </row>
    <row r="415" spans="4:5" ht="32.1" hidden="1" customHeight="1">
      <c r="D415" s="155"/>
      <c r="E415" s="154"/>
    </row>
    <row r="416" spans="4:5" ht="32.1" hidden="1" customHeight="1">
      <c r="D416" s="155"/>
      <c r="E416" s="154"/>
    </row>
    <row r="417" spans="4:5" ht="32.1" hidden="1" customHeight="1">
      <c r="D417" s="155"/>
      <c r="E417" s="154"/>
    </row>
    <row r="418" spans="4:5" ht="32.1" hidden="1" customHeight="1">
      <c r="D418" s="155"/>
      <c r="E418" s="154"/>
    </row>
    <row r="419" spans="4:5" ht="32.1" hidden="1" customHeight="1">
      <c r="D419" s="155"/>
      <c r="E419" s="154"/>
    </row>
    <row r="420" spans="4:5" ht="32.1" hidden="1" customHeight="1">
      <c r="D420" s="155"/>
      <c r="E420" s="154"/>
    </row>
    <row r="421" spans="4:5" ht="32.1" hidden="1" customHeight="1">
      <c r="D421" s="155"/>
      <c r="E421" s="154"/>
    </row>
    <row r="422" spans="4:5" ht="32.1" hidden="1" customHeight="1">
      <c r="D422" s="155"/>
      <c r="E422" s="154"/>
    </row>
    <row r="423" spans="4:5" ht="32.1" hidden="1" customHeight="1">
      <c r="D423" s="155"/>
      <c r="E423" s="154"/>
    </row>
    <row r="424" spans="4:5" ht="32.1" hidden="1" customHeight="1">
      <c r="D424" s="155"/>
      <c r="E424" s="154"/>
    </row>
    <row r="425" spans="4:5" ht="32.1" hidden="1" customHeight="1">
      <c r="D425" s="155"/>
      <c r="E425" s="154"/>
    </row>
    <row r="426" spans="4:5" ht="32.1" hidden="1" customHeight="1">
      <c r="D426" s="155"/>
      <c r="E426" s="154"/>
    </row>
    <row r="427" spans="4:5" ht="32.1" hidden="1" customHeight="1">
      <c r="D427" s="155"/>
      <c r="E427" s="154"/>
    </row>
    <row r="428" spans="4:5" ht="32.1" hidden="1" customHeight="1">
      <c r="D428" s="155"/>
      <c r="E428" s="154"/>
    </row>
    <row r="429" spans="4:5" ht="32.1" hidden="1" customHeight="1">
      <c r="D429" s="155"/>
      <c r="E429" s="154"/>
    </row>
    <row r="430" spans="4:5" ht="32.1" hidden="1" customHeight="1">
      <c r="D430" s="155"/>
      <c r="E430" s="154"/>
    </row>
    <row r="431" spans="4:5" ht="32.1" hidden="1" customHeight="1">
      <c r="D431" s="155"/>
      <c r="E431" s="154"/>
    </row>
    <row r="432" spans="4:5" ht="32.1" hidden="1" customHeight="1">
      <c r="D432" s="155"/>
      <c r="E432" s="154"/>
    </row>
    <row r="433" spans="4:5" ht="32.1" hidden="1" customHeight="1">
      <c r="D433" s="155"/>
      <c r="E433" s="154"/>
    </row>
    <row r="434" spans="4:5" ht="32.1" hidden="1" customHeight="1">
      <c r="D434" s="155"/>
      <c r="E434" s="154"/>
    </row>
    <row r="435" spans="4:5" ht="32.1" hidden="1" customHeight="1">
      <c r="D435" s="155"/>
      <c r="E435" s="154"/>
    </row>
    <row r="436" spans="4:5" ht="32.1" hidden="1" customHeight="1">
      <c r="D436" s="155"/>
      <c r="E436" s="154"/>
    </row>
    <row r="437" spans="4:5" ht="32.1" hidden="1" customHeight="1">
      <c r="D437" s="155"/>
      <c r="E437" s="154"/>
    </row>
    <row r="438" spans="4:5" ht="32.1" hidden="1" customHeight="1">
      <c r="D438" s="155"/>
      <c r="E438" s="154"/>
    </row>
    <row r="439" spans="4:5" ht="32.1" hidden="1" customHeight="1">
      <c r="D439" s="155"/>
      <c r="E439" s="154"/>
    </row>
    <row r="440" spans="4:5" ht="32.1" hidden="1" customHeight="1">
      <c r="D440" s="155"/>
      <c r="E440" s="154"/>
    </row>
    <row r="441" spans="4:5" ht="32.1" hidden="1" customHeight="1">
      <c r="D441" s="155"/>
      <c r="E441" s="154"/>
    </row>
    <row r="442" spans="4:5" ht="32.1" hidden="1" customHeight="1">
      <c r="D442" s="155"/>
      <c r="E442" s="154"/>
    </row>
    <row r="443" spans="4:5" ht="32.1" hidden="1" customHeight="1">
      <c r="D443" s="155"/>
      <c r="E443" s="154"/>
    </row>
    <row r="444" spans="4:5" ht="32.1" hidden="1" customHeight="1">
      <c r="D444" s="155"/>
      <c r="E444" s="154"/>
    </row>
    <row r="445" spans="4:5" ht="32.1" hidden="1" customHeight="1">
      <c r="D445" s="155"/>
      <c r="E445" s="154"/>
    </row>
    <row r="446" spans="4:5" ht="32.1" hidden="1" customHeight="1">
      <c r="D446" s="155"/>
      <c r="E446" s="154"/>
    </row>
    <row r="447" spans="4:5" ht="32.1" hidden="1" customHeight="1">
      <c r="D447" s="155"/>
      <c r="E447" s="154"/>
    </row>
    <row r="448" spans="4:5" ht="32.1" hidden="1" customHeight="1">
      <c r="D448" s="155"/>
      <c r="E448" s="154"/>
    </row>
    <row r="449" spans="4:5" ht="32.1" hidden="1" customHeight="1">
      <c r="D449" s="155"/>
      <c r="E449" s="154"/>
    </row>
    <row r="450" spans="4:5" ht="32.1" hidden="1" customHeight="1">
      <c r="D450" s="155"/>
      <c r="E450" s="154"/>
    </row>
    <row r="451" spans="4:5" ht="32.1" hidden="1" customHeight="1">
      <c r="D451" s="155"/>
      <c r="E451" s="154"/>
    </row>
    <row r="452" spans="4:5" ht="32.1" hidden="1" customHeight="1">
      <c r="D452" s="155"/>
      <c r="E452" s="154"/>
    </row>
    <row r="453" spans="4:5" ht="32.1" hidden="1" customHeight="1">
      <c r="D453" s="155"/>
      <c r="E453" s="154"/>
    </row>
    <row r="454" spans="4:5" ht="32.1" hidden="1" customHeight="1">
      <c r="D454" s="155"/>
      <c r="E454" s="154"/>
    </row>
    <row r="455" spans="4:5" ht="32.1" hidden="1" customHeight="1">
      <c r="D455" s="155"/>
      <c r="E455" s="154"/>
    </row>
    <row r="456" spans="4:5" ht="32.1" hidden="1" customHeight="1">
      <c r="D456" s="155"/>
      <c r="E456" s="154"/>
    </row>
    <row r="457" spans="4:5" ht="32.1" hidden="1" customHeight="1">
      <c r="D457" s="155"/>
      <c r="E457" s="154"/>
    </row>
    <row r="458" spans="4:5" ht="32.1" hidden="1" customHeight="1">
      <c r="D458" s="155"/>
      <c r="E458" s="154"/>
    </row>
    <row r="459" spans="4:5" ht="32.1" hidden="1" customHeight="1">
      <c r="D459" s="155"/>
      <c r="E459" s="154"/>
    </row>
    <row r="460" spans="4:5" ht="32.1" hidden="1" customHeight="1">
      <c r="D460" s="155"/>
      <c r="E460" s="154"/>
    </row>
    <row r="461" spans="4:5" ht="32.1" hidden="1" customHeight="1">
      <c r="D461" s="155"/>
      <c r="E461" s="154"/>
    </row>
    <row r="462" spans="4:5" ht="32.1" hidden="1" customHeight="1">
      <c r="D462" s="155"/>
      <c r="E462" s="154"/>
    </row>
    <row r="463" spans="4:5" ht="32.1" hidden="1" customHeight="1">
      <c r="D463" s="155"/>
      <c r="E463" s="154"/>
    </row>
    <row r="464" spans="4:5" ht="32.1" hidden="1" customHeight="1">
      <c r="D464" s="155"/>
      <c r="E464" s="154"/>
    </row>
    <row r="465" spans="4:5" ht="32.1" hidden="1" customHeight="1">
      <c r="D465" s="155"/>
      <c r="E465" s="154"/>
    </row>
    <row r="466" spans="4:5" ht="32.1" hidden="1" customHeight="1">
      <c r="D466" s="155"/>
      <c r="E466" s="154"/>
    </row>
    <row r="467" spans="4:5" ht="32.1" hidden="1" customHeight="1">
      <c r="D467" s="155"/>
      <c r="E467" s="154"/>
    </row>
    <row r="468" spans="4:5" ht="32.1" hidden="1" customHeight="1">
      <c r="D468" s="155"/>
      <c r="E468" s="154"/>
    </row>
    <row r="469" spans="4:5" ht="32.1" hidden="1" customHeight="1">
      <c r="D469" s="155"/>
      <c r="E469" s="154"/>
    </row>
    <row r="470" spans="4:5" ht="32.1" hidden="1" customHeight="1">
      <c r="D470" s="155"/>
      <c r="E470" s="154"/>
    </row>
    <row r="471" spans="4:5" ht="32.1" hidden="1" customHeight="1">
      <c r="D471" s="155"/>
      <c r="E471" s="154"/>
    </row>
    <row r="472" spans="4:5" ht="32.1" hidden="1" customHeight="1">
      <c r="D472" s="155"/>
      <c r="E472" s="154"/>
    </row>
    <row r="473" spans="4:5" ht="32.1" hidden="1" customHeight="1">
      <c r="D473" s="155"/>
      <c r="E473" s="154"/>
    </row>
    <row r="474" spans="4:5" ht="32.1" hidden="1" customHeight="1">
      <c r="D474" s="155"/>
      <c r="E474" s="154"/>
    </row>
    <row r="475" spans="4:5" ht="32.1" hidden="1" customHeight="1">
      <c r="D475" s="155"/>
      <c r="E475" s="154"/>
    </row>
    <row r="476" spans="4:5" ht="32.1" hidden="1" customHeight="1">
      <c r="D476" s="155"/>
      <c r="E476" s="154"/>
    </row>
    <row r="477" spans="4:5" ht="32.1" hidden="1" customHeight="1">
      <c r="D477" s="155"/>
      <c r="E477" s="154"/>
    </row>
    <row r="478" spans="4:5" ht="32.1" hidden="1" customHeight="1">
      <c r="D478" s="155"/>
      <c r="E478" s="154"/>
    </row>
    <row r="479" spans="4:5" ht="32.1" hidden="1" customHeight="1">
      <c r="D479" s="155"/>
      <c r="E479" s="154"/>
    </row>
    <row r="480" spans="4:5" ht="32.1" hidden="1" customHeight="1">
      <c r="D480" s="155"/>
      <c r="E480" s="154"/>
    </row>
    <row r="481" spans="4:5" ht="32.1" hidden="1" customHeight="1">
      <c r="D481" s="155"/>
      <c r="E481" s="154"/>
    </row>
    <row r="482" spans="4:5" ht="32.1" hidden="1" customHeight="1">
      <c r="D482" s="155"/>
      <c r="E482" s="154"/>
    </row>
    <row r="483" spans="4:5" ht="32.1" hidden="1" customHeight="1">
      <c r="D483" s="155"/>
      <c r="E483" s="154"/>
    </row>
    <row r="484" spans="4:5" ht="32.1" hidden="1" customHeight="1">
      <c r="D484" s="155"/>
      <c r="E484" s="154"/>
    </row>
    <row r="485" spans="4:5" ht="32.1" hidden="1" customHeight="1">
      <c r="D485" s="155"/>
      <c r="E485" s="154"/>
    </row>
    <row r="486" spans="4:5" ht="32.1" hidden="1" customHeight="1">
      <c r="D486" s="155"/>
      <c r="E486" s="154"/>
    </row>
    <row r="487" spans="4:5" ht="32.1" hidden="1" customHeight="1">
      <c r="D487" s="155"/>
      <c r="E487" s="154"/>
    </row>
    <row r="488" spans="4:5" ht="32.1" hidden="1" customHeight="1">
      <c r="D488" s="155"/>
      <c r="E488" s="154"/>
    </row>
    <row r="489" spans="4:5" ht="32.1" hidden="1" customHeight="1">
      <c r="D489" s="155"/>
      <c r="E489" s="154"/>
    </row>
    <row r="490" spans="4:5" ht="32.1" hidden="1" customHeight="1">
      <c r="D490" s="155"/>
      <c r="E490" s="154"/>
    </row>
    <row r="491" spans="4:5" ht="32.1" hidden="1" customHeight="1">
      <c r="D491" s="155"/>
      <c r="E491" s="154"/>
    </row>
    <row r="492" spans="4:5" ht="32.1" hidden="1" customHeight="1">
      <c r="D492" s="155"/>
      <c r="E492" s="154"/>
    </row>
    <row r="493" spans="4:5" ht="32.1" hidden="1" customHeight="1">
      <c r="D493" s="155"/>
      <c r="E493" s="154"/>
    </row>
    <row r="494" spans="4:5" ht="32.1" hidden="1" customHeight="1">
      <c r="D494" s="155"/>
      <c r="E494" s="154"/>
    </row>
    <row r="495" spans="4:5" ht="32.1" hidden="1" customHeight="1">
      <c r="D495" s="155"/>
      <c r="E495" s="154"/>
    </row>
    <row r="496" spans="4:5" ht="32.1" hidden="1" customHeight="1">
      <c r="D496" s="155"/>
      <c r="E496" s="154"/>
    </row>
    <row r="497" spans="4:5" ht="32.1" hidden="1" customHeight="1">
      <c r="D497" s="155"/>
      <c r="E497" s="154"/>
    </row>
    <row r="498" spans="4:5" ht="32.1" hidden="1" customHeight="1">
      <c r="D498" s="155"/>
      <c r="E498" s="154"/>
    </row>
    <row r="499" spans="4:5" ht="32.1" hidden="1" customHeight="1">
      <c r="D499" s="155"/>
      <c r="E499" s="154"/>
    </row>
    <row r="500" spans="4:5" ht="32.1" hidden="1" customHeight="1">
      <c r="D500" s="155"/>
      <c r="E500" s="154"/>
    </row>
    <row r="501" spans="4:5" ht="32.1" hidden="1" customHeight="1">
      <c r="D501" s="155"/>
      <c r="E501" s="154"/>
    </row>
    <row r="502" spans="4:5" ht="32.1" hidden="1" customHeight="1">
      <c r="D502" s="155"/>
      <c r="E502" s="154"/>
    </row>
    <row r="503" spans="4:5" ht="32.1" hidden="1" customHeight="1">
      <c r="D503" s="155"/>
      <c r="E503" s="154"/>
    </row>
    <row r="504" spans="4:5" ht="32.1" hidden="1" customHeight="1">
      <c r="D504" s="155"/>
      <c r="E504" s="154"/>
    </row>
    <row r="505" spans="4:5" ht="32.1" hidden="1" customHeight="1">
      <c r="D505" s="155"/>
      <c r="E505" s="154"/>
    </row>
    <row r="506" spans="4:5" ht="32.1" hidden="1" customHeight="1">
      <c r="D506" s="155"/>
      <c r="E506" s="154"/>
    </row>
    <row r="507" spans="4:5" ht="32.1" hidden="1" customHeight="1">
      <c r="D507" s="155"/>
      <c r="E507" s="154"/>
    </row>
    <row r="508" spans="4:5" ht="32.1" hidden="1" customHeight="1">
      <c r="D508" s="155"/>
      <c r="E508" s="154"/>
    </row>
    <row r="509" spans="4:5" ht="32.1" hidden="1" customHeight="1">
      <c r="D509" s="155"/>
      <c r="E509" s="154"/>
    </row>
    <row r="510" spans="4:5" ht="32.1" hidden="1" customHeight="1">
      <c r="D510" s="155"/>
      <c r="E510" s="154"/>
    </row>
    <row r="511" spans="4:5" ht="32.1" hidden="1" customHeight="1">
      <c r="D511" s="155"/>
      <c r="E511" s="154"/>
    </row>
    <row r="512" spans="4:5" ht="32.1" hidden="1" customHeight="1">
      <c r="D512" s="155"/>
      <c r="E512" s="154"/>
    </row>
    <row r="513" spans="4:5" ht="32.1" hidden="1" customHeight="1">
      <c r="D513" s="155"/>
      <c r="E513" s="154"/>
    </row>
    <row r="514" spans="4:5" ht="32.1" hidden="1" customHeight="1">
      <c r="D514" s="155"/>
      <c r="E514" s="154"/>
    </row>
    <row r="515" spans="4:5" ht="32.1" hidden="1" customHeight="1">
      <c r="D515" s="155"/>
      <c r="E515" s="154"/>
    </row>
    <row r="516" spans="4:5" ht="32.1" hidden="1" customHeight="1">
      <c r="D516" s="155"/>
      <c r="E516" s="154"/>
    </row>
    <row r="517" spans="4:5" ht="32.1" hidden="1" customHeight="1">
      <c r="D517" s="155"/>
      <c r="E517" s="154"/>
    </row>
    <row r="518" spans="4:5" ht="32.1" hidden="1" customHeight="1">
      <c r="D518" s="155"/>
      <c r="E518" s="154"/>
    </row>
    <row r="519" spans="4:5" ht="32.1" hidden="1" customHeight="1">
      <c r="D519" s="155"/>
      <c r="E519" s="154"/>
    </row>
    <row r="520" spans="4:5" ht="32.1" hidden="1" customHeight="1">
      <c r="D520" s="155"/>
      <c r="E520" s="154"/>
    </row>
    <row r="521" spans="4:5" ht="32.1" hidden="1" customHeight="1">
      <c r="D521" s="155"/>
      <c r="E521" s="154"/>
    </row>
    <row r="522" spans="4:5" ht="32.1" hidden="1" customHeight="1">
      <c r="D522" s="155"/>
      <c r="E522" s="154"/>
    </row>
    <row r="523" spans="4:5" ht="32.1" hidden="1" customHeight="1">
      <c r="D523" s="155"/>
      <c r="E523" s="154"/>
    </row>
    <row r="524" spans="4:5" ht="32.1" hidden="1" customHeight="1">
      <c r="D524" s="155"/>
      <c r="E524" s="154"/>
    </row>
    <row r="525" spans="4:5" ht="32.1" hidden="1" customHeight="1">
      <c r="D525" s="155"/>
      <c r="E525" s="154"/>
    </row>
    <row r="526" spans="4:5" ht="32.1" hidden="1" customHeight="1">
      <c r="D526" s="155"/>
      <c r="E526" s="154"/>
    </row>
    <row r="527" spans="4:5" ht="32.1" hidden="1" customHeight="1">
      <c r="D527" s="155"/>
      <c r="E527" s="154"/>
    </row>
    <row r="528" spans="4:5" ht="32.1" hidden="1" customHeight="1">
      <c r="D528" s="155"/>
      <c r="E528" s="154"/>
    </row>
    <row r="529" spans="4:5" ht="32.1" hidden="1" customHeight="1">
      <c r="D529" s="155"/>
      <c r="E529" s="154"/>
    </row>
    <row r="530" spans="4:5" ht="32.1" hidden="1" customHeight="1">
      <c r="D530" s="155"/>
      <c r="E530" s="154"/>
    </row>
    <row r="531" spans="4:5" ht="32.1" hidden="1" customHeight="1">
      <c r="D531" s="155"/>
      <c r="E531" s="154"/>
    </row>
    <row r="532" spans="4:5" ht="32.1" hidden="1" customHeight="1">
      <c r="D532" s="155"/>
      <c r="E532" s="154"/>
    </row>
    <row r="533" spans="4:5" ht="32.1" hidden="1" customHeight="1">
      <c r="D533" s="155"/>
      <c r="E533" s="154"/>
    </row>
    <row r="534" spans="4:5" ht="32.1" hidden="1" customHeight="1">
      <c r="D534" s="155"/>
      <c r="E534" s="154"/>
    </row>
    <row r="535" spans="4:5" ht="32.1" hidden="1" customHeight="1">
      <c r="D535" s="155"/>
      <c r="E535" s="154"/>
    </row>
    <row r="536" spans="4:5" ht="32.1" hidden="1" customHeight="1">
      <c r="D536" s="155"/>
      <c r="E536" s="154"/>
    </row>
    <row r="537" spans="4:5" ht="32.1" hidden="1" customHeight="1">
      <c r="D537" s="155"/>
      <c r="E537" s="154"/>
    </row>
    <row r="538" spans="4:5" ht="32.1" hidden="1" customHeight="1">
      <c r="D538" s="155"/>
      <c r="E538" s="154"/>
    </row>
    <row r="539" spans="4:5" ht="32.1" hidden="1" customHeight="1">
      <c r="D539" s="155"/>
      <c r="E539" s="154"/>
    </row>
    <row r="540" spans="4:5" ht="32.1" hidden="1" customHeight="1">
      <c r="D540" s="155"/>
      <c r="E540" s="154"/>
    </row>
    <row r="541" spans="4:5" ht="32.1" hidden="1" customHeight="1">
      <c r="D541" s="155"/>
      <c r="E541" s="154"/>
    </row>
    <row r="542" spans="4:5" ht="32.1" hidden="1" customHeight="1">
      <c r="D542" s="155"/>
      <c r="E542" s="154"/>
    </row>
    <row r="543" spans="4:5" ht="32.1" hidden="1" customHeight="1">
      <c r="D543" s="155"/>
      <c r="E543" s="154"/>
    </row>
    <row r="544" spans="4:5" ht="32.1" hidden="1" customHeight="1">
      <c r="D544" s="155"/>
      <c r="E544" s="154"/>
    </row>
    <row r="545" spans="4:5" ht="32.1" hidden="1" customHeight="1">
      <c r="D545" s="155"/>
      <c r="E545" s="154"/>
    </row>
    <row r="546" spans="4:5" ht="32.1" hidden="1" customHeight="1">
      <c r="D546" s="155"/>
      <c r="E546" s="154"/>
    </row>
    <row r="547" spans="4:5" ht="32.1" hidden="1" customHeight="1">
      <c r="D547" s="155"/>
      <c r="E547" s="154"/>
    </row>
    <row r="548" spans="4:5" ht="32.1" hidden="1" customHeight="1">
      <c r="D548" s="155"/>
      <c r="E548" s="154"/>
    </row>
    <row r="549" spans="4:5" ht="32.1" hidden="1" customHeight="1">
      <c r="D549" s="155"/>
      <c r="E549" s="154"/>
    </row>
    <row r="550" spans="4:5" ht="32.1" hidden="1" customHeight="1">
      <c r="D550" s="155"/>
      <c r="E550" s="154"/>
    </row>
    <row r="551" spans="4:5" ht="32.1" hidden="1" customHeight="1">
      <c r="D551" s="155"/>
      <c r="E551" s="154"/>
    </row>
    <row r="552" spans="4:5" ht="32.1" hidden="1" customHeight="1">
      <c r="D552" s="155"/>
      <c r="E552" s="154"/>
    </row>
    <row r="553" spans="4:5" ht="32.1" hidden="1" customHeight="1">
      <c r="D553" s="155"/>
      <c r="E553" s="154"/>
    </row>
    <row r="554" spans="4:5" ht="32.1" hidden="1" customHeight="1">
      <c r="D554" s="155"/>
      <c r="E554" s="154"/>
    </row>
    <row r="555" spans="4:5" ht="32.1" hidden="1" customHeight="1">
      <c r="D555" s="155"/>
      <c r="E555" s="154"/>
    </row>
    <row r="556" spans="4:5" ht="32.1" hidden="1" customHeight="1">
      <c r="D556" s="155"/>
      <c r="E556" s="154"/>
    </row>
    <row r="557" spans="4:5" ht="32.1" hidden="1" customHeight="1">
      <c r="D557" s="155"/>
      <c r="E557" s="154"/>
    </row>
    <row r="558" spans="4:5" ht="32.1" hidden="1" customHeight="1">
      <c r="D558" s="155"/>
      <c r="E558" s="154"/>
    </row>
    <row r="559" spans="4:5" ht="32.1" hidden="1" customHeight="1">
      <c r="D559" s="155"/>
      <c r="E559" s="154"/>
    </row>
    <row r="560" spans="4:5" ht="32.1" hidden="1" customHeight="1">
      <c r="D560" s="155"/>
      <c r="E560" s="154"/>
    </row>
    <row r="561" spans="4:5" ht="32.1" hidden="1" customHeight="1">
      <c r="D561" s="155"/>
      <c r="E561" s="154"/>
    </row>
    <row r="562" spans="4:5" ht="32.1" hidden="1" customHeight="1">
      <c r="D562" s="155"/>
      <c r="E562" s="154"/>
    </row>
    <row r="563" spans="4:5" ht="32.1" hidden="1" customHeight="1">
      <c r="D563" s="155"/>
      <c r="E563" s="154"/>
    </row>
    <row r="564" spans="4:5" ht="32.1" hidden="1" customHeight="1">
      <c r="D564" s="155"/>
      <c r="E564" s="154"/>
    </row>
    <row r="565" spans="4:5" ht="32.1" hidden="1" customHeight="1">
      <c r="D565" s="155"/>
      <c r="E565" s="154"/>
    </row>
    <row r="566" spans="4:5" ht="32.1" hidden="1" customHeight="1">
      <c r="D566" s="155"/>
      <c r="E566" s="154"/>
    </row>
    <row r="567" spans="4:5" ht="32.1" hidden="1" customHeight="1">
      <c r="D567" s="155"/>
      <c r="E567" s="154"/>
    </row>
    <row r="568" spans="4:5" ht="32.1" hidden="1" customHeight="1">
      <c r="D568" s="155"/>
      <c r="E568" s="154"/>
    </row>
    <row r="569" spans="4:5" ht="32.1" hidden="1" customHeight="1">
      <c r="D569" s="155"/>
      <c r="E569" s="154"/>
    </row>
    <row r="570" spans="4:5" ht="32.1" hidden="1" customHeight="1">
      <c r="D570" s="155"/>
      <c r="E570" s="154"/>
    </row>
    <row r="571" spans="4:5" ht="32.1" hidden="1" customHeight="1">
      <c r="D571" s="155"/>
      <c r="E571" s="154"/>
    </row>
    <row r="572" spans="4:5" ht="32.1" hidden="1" customHeight="1">
      <c r="D572" s="155"/>
      <c r="E572" s="154"/>
    </row>
    <row r="573" spans="4:5" ht="32.1" hidden="1" customHeight="1">
      <c r="D573" s="155"/>
      <c r="E573" s="154"/>
    </row>
    <row r="574" spans="4:5" ht="32.1" hidden="1" customHeight="1">
      <c r="D574" s="155"/>
      <c r="E574" s="154"/>
    </row>
    <row r="575" spans="4:5" ht="32.1" hidden="1" customHeight="1">
      <c r="D575" s="155"/>
      <c r="E575" s="154"/>
    </row>
    <row r="576" spans="4:5" ht="32.1" hidden="1" customHeight="1">
      <c r="D576" s="155"/>
      <c r="E576" s="154"/>
    </row>
    <row r="577" spans="4:5" ht="32.1" hidden="1" customHeight="1">
      <c r="D577" s="155"/>
      <c r="E577" s="154"/>
    </row>
    <row r="578" spans="4:5" ht="32.1" hidden="1" customHeight="1">
      <c r="D578" s="155"/>
      <c r="E578" s="154"/>
    </row>
    <row r="579" spans="4:5" ht="32.1" hidden="1" customHeight="1">
      <c r="D579" s="155"/>
      <c r="E579" s="154"/>
    </row>
    <row r="580" spans="4:5" ht="32.1" hidden="1" customHeight="1">
      <c r="D580" s="155"/>
      <c r="E580" s="154"/>
    </row>
    <row r="581" spans="4:5" ht="32.1" hidden="1" customHeight="1">
      <c r="D581" s="155"/>
      <c r="E581" s="154"/>
    </row>
    <row r="582" spans="4:5" ht="32.1" hidden="1" customHeight="1">
      <c r="D582" s="155"/>
      <c r="E582" s="154"/>
    </row>
    <row r="583" spans="4:5" ht="32.1" hidden="1" customHeight="1">
      <c r="D583" s="155"/>
      <c r="E583" s="154"/>
    </row>
    <row r="584" spans="4:5" ht="32.1" hidden="1" customHeight="1">
      <c r="D584" s="155"/>
      <c r="E584" s="154"/>
    </row>
    <row r="585" spans="4:5" ht="32.1" hidden="1" customHeight="1">
      <c r="D585" s="155"/>
      <c r="E585" s="154"/>
    </row>
    <row r="586" spans="4:5" ht="32.1" hidden="1" customHeight="1">
      <c r="D586" s="155"/>
      <c r="E586" s="154"/>
    </row>
    <row r="587" spans="4:5" ht="32.1" hidden="1" customHeight="1">
      <c r="D587" s="155"/>
      <c r="E587" s="154"/>
    </row>
    <row r="588" spans="4:5" ht="32.1" hidden="1" customHeight="1">
      <c r="D588" s="155"/>
      <c r="E588" s="154"/>
    </row>
    <row r="589" spans="4:5" ht="32.1" hidden="1" customHeight="1">
      <c r="D589" s="155"/>
      <c r="E589" s="154"/>
    </row>
    <row r="590" spans="4:5" ht="32.1" hidden="1" customHeight="1">
      <c r="D590" s="155"/>
      <c r="E590" s="154"/>
    </row>
    <row r="591" spans="4:5" ht="32.1" hidden="1" customHeight="1">
      <c r="D591" s="155"/>
      <c r="E591" s="154"/>
    </row>
    <row r="592" spans="4:5" ht="32.1" hidden="1" customHeight="1">
      <c r="D592" s="155"/>
      <c r="E592" s="154"/>
    </row>
    <row r="593" spans="4:5" ht="32.1" hidden="1" customHeight="1">
      <c r="D593" s="155"/>
      <c r="E593" s="154"/>
    </row>
    <row r="594" spans="4:5" ht="32.1" hidden="1" customHeight="1">
      <c r="D594" s="155"/>
      <c r="E594" s="154"/>
    </row>
    <row r="595" spans="4:5" ht="32.1" hidden="1" customHeight="1">
      <c r="D595" s="155"/>
      <c r="E595" s="154"/>
    </row>
    <row r="596" spans="4:5" ht="32.1" hidden="1" customHeight="1">
      <c r="D596" s="155"/>
      <c r="E596" s="154"/>
    </row>
    <row r="597" spans="4:5" ht="32.1" hidden="1" customHeight="1">
      <c r="D597" s="155"/>
      <c r="E597" s="154"/>
    </row>
    <row r="598" spans="4:5" ht="32.1" hidden="1" customHeight="1">
      <c r="D598" s="155"/>
      <c r="E598" s="154"/>
    </row>
    <row r="599" spans="4:5" ht="32.1" hidden="1" customHeight="1">
      <c r="D599" s="155"/>
      <c r="E599" s="154"/>
    </row>
    <row r="600" spans="4:5" ht="32.1" hidden="1" customHeight="1">
      <c r="D600" s="155"/>
      <c r="E600" s="154"/>
    </row>
    <row r="601" spans="4:5" ht="32.1" hidden="1" customHeight="1">
      <c r="D601" s="155"/>
      <c r="E601" s="154"/>
    </row>
    <row r="602" spans="4:5" ht="32.1" hidden="1" customHeight="1">
      <c r="D602" s="155"/>
      <c r="E602" s="154"/>
    </row>
    <row r="603" spans="4:5" ht="32.1" hidden="1" customHeight="1">
      <c r="D603" s="155"/>
      <c r="E603" s="154"/>
    </row>
    <row r="604" spans="4:5" ht="32.1" hidden="1" customHeight="1">
      <c r="D604" s="155"/>
      <c r="E604" s="154"/>
    </row>
    <row r="605" spans="4:5" ht="32.1" hidden="1" customHeight="1">
      <c r="D605" s="155"/>
      <c r="E605" s="154"/>
    </row>
    <row r="606" spans="4:5" ht="32.1" hidden="1" customHeight="1">
      <c r="D606" s="155"/>
      <c r="E606" s="154"/>
    </row>
    <row r="607" spans="4:5" ht="32.1" hidden="1" customHeight="1">
      <c r="D607" s="155"/>
      <c r="E607" s="154"/>
    </row>
    <row r="608" spans="4:5" ht="32.1" hidden="1" customHeight="1">
      <c r="D608" s="155"/>
      <c r="E608" s="154"/>
    </row>
    <row r="609" spans="4:5" ht="32.1" hidden="1" customHeight="1">
      <c r="D609" s="155"/>
      <c r="E609" s="154"/>
    </row>
    <row r="610" spans="4:5" ht="32.1" hidden="1" customHeight="1">
      <c r="D610" s="155"/>
      <c r="E610" s="154"/>
    </row>
    <row r="611" spans="4:5" ht="32.1" hidden="1" customHeight="1">
      <c r="D611" s="155"/>
      <c r="E611" s="154"/>
    </row>
    <row r="612" spans="4:5" ht="32.1" hidden="1" customHeight="1">
      <c r="D612" s="155"/>
      <c r="E612" s="154"/>
    </row>
    <row r="613" spans="4:5" ht="32.1" hidden="1" customHeight="1">
      <c r="D613" s="155"/>
      <c r="E613" s="154"/>
    </row>
    <row r="614" spans="4:5" ht="32.1" hidden="1" customHeight="1">
      <c r="D614" s="155"/>
      <c r="E614" s="154"/>
    </row>
    <row r="615" spans="4:5" ht="32.1" hidden="1" customHeight="1">
      <c r="D615" s="155"/>
      <c r="E615" s="154"/>
    </row>
    <row r="616" spans="4:5" ht="32.1" hidden="1" customHeight="1">
      <c r="D616" s="155"/>
      <c r="E616" s="154"/>
    </row>
    <row r="617" spans="4:5" ht="32.1" hidden="1" customHeight="1">
      <c r="D617" s="155"/>
      <c r="E617" s="154"/>
    </row>
    <row r="618" spans="4:5" ht="32.1" hidden="1" customHeight="1">
      <c r="D618" s="155"/>
      <c r="E618" s="154"/>
    </row>
    <row r="619" spans="4:5" ht="32.1" hidden="1" customHeight="1">
      <c r="D619" s="155"/>
      <c r="E619" s="154"/>
    </row>
    <row r="620" spans="4:5" ht="32.1" hidden="1" customHeight="1">
      <c r="D620" s="155"/>
      <c r="E620" s="154"/>
    </row>
    <row r="621" spans="4:5" ht="32.1" hidden="1" customHeight="1">
      <c r="D621" s="155"/>
      <c r="E621" s="154"/>
    </row>
    <row r="622" spans="4:5" ht="32.1" hidden="1" customHeight="1">
      <c r="D622" s="155"/>
      <c r="E622" s="154"/>
    </row>
    <row r="623" spans="4:5" ht="32.1" hidden="1" customHeight="1">
      <c r="D623" s="155"/>
      <c r="E623" s="154"/>
    </row>
    <row r="624" spans="4:5" ht="32.1" hidden="1" customHeight="1">
      <c r="D624" s="155"/>
      <c r="E624" s="154"/>
    </row>
    <row r="625" spans="4:5" ht="32.1" hidden="1" customHeight="1">
      <c r="D625" s="155"/>
      <c r="E625" s="154"/>
    </row>
    <row r="626" spans="4:5" ht="32.1" hidden="1" customHeight="1">
      <c r="D626" s="155"/>
      <c r="E626" s="154"/>
    </row>
    <row r="627" spans="4:5" ht="32.1" hidden="1" customHeight="1">
      <c r="D627" s="155"/>
      <c r="E627" s="154"/>
    </row>
    <row r="628" spans="4:5" ht="32.1" hidden="1" customHeight="1">
      <c r="D628" s="155"/>
      <c r="E628" s="154"/>
    </row>
    <row r="629" spans="4:5" ht="32.1" hidden="1" customHeight="1">
      <c r="D629" s="155"/>
      <c r="E629" s="154"/>
    </row>
    <row r="630" spans="4:5" ht="32.1" hidden="1" customHeight="1">
      <c r="D630" s="155"/>
      <c r="E630" s="154"/>
    </row>
    <row r="631" spans="4:5" ht="32.1" hidden="1" customHeight="1">
      <c r="D631" s="155"/>
      <c r="E631" s="154"/>
    </row>
    <row r="632" spans="4:5" ht="32.1" hidden="1" customHeight="1">
      <c r="D632" s="155"/>
      <c r="E632" s="154"/>
    </row>
    <row r="633" spans="4:5" ht="32.1" hidden="1" customHeight="1">
      <c r="D633" s="155"/>
      <c r="E633" s="154"/>
    </row>
    <row r="634" spans="4:5" ht="32.1" hidden="1" customHeight="1">
      <c r="D634" s="155"/>
      <c r="E634" s="154"/>
    </row>
    <row r="635" spans="4:5" ht="32.1" hidden="1" customHeight="1">
      <c r="D635" s="155"/>
      <c r="E635" s="154"/>
    </row>
    <row r="636" spans="4:5" ht="32.1" hidden="1" customHeight="1">
      <c r="D636" s="155"/>
      <c r="E636" s="154"/>
    </row>
    <row r="637" spans="4:5" ht="32.1" hidden="1" customHeight="1">
      <c r="D637" s="155"/>
      <c r="E637" s="154"/>
    </row>
    <row r="638" spans="4:5" ht="32.1" hidden="1" customHeight="1">
      <c r="D638" s="155"/>
      <c r="E638" s="154"/>
    </row>
    <row r="639" spans="4:5" ht="32.1" hidden="1" customHeight="1">
      <c r="D639" s="155"/>
      <c r="E639" s="154"/>
    </row>
    <row r="640" spans="4:5" ht="32.1" hidden="1" customHeight="1">
      <c r="D640" s="155"/>
      <c r="E640" s="154"/>
    </row>
    <row r="641" spans="4:5" ht="32.1" hidden="1" customHeight="1">
      <c r="D641" s="155"/>
      <c r="E641" s="154"/>
    </row>
    <row r="642" spans="4:5" ht="32.1" hidden="1" customHeight="1">
      <c r="D642" s="155"/>
      <c r="E642" s="154"/>
    </row>
    <row r="643" spans="4:5" ht="32.1" hidden="1" customHeight="1">
      <c r="D643" s="155"/>
      <c r="E643" s="154"/>
    </row>
    <row r="644" spans="4:5" ht="32.1" hidden="1" customHeight="1">
      <c r="D644" s="155"/>
      <c r="E644" s="154"/>
    </row>
    <row r="645" spans="4:5" ht="32.1" hidden="1" customHeight="1">
      <c r="D645" s="155"/>
      <c r="E645" s="154"/>
    </row>
    <row r="646" spans="4:5" ht="32.1" hidden="1" customHeight="1">
      <c r="D646" s="155"/>
      <c r="E646" s="154"/>
    </row>
    <row r="647" spans="4:5" ht="32.1" hidden="1" customHeight="1">
      <c r="D647" s="155"/>
      <c r="E647" s="154"/>
    </row>
    <row r="648" spans="4:5" ht="32.1" hidden="1" customHeight="1">
      <c r="D648" s="155"/>
      <c r="E648" s="154"/>
    </row>
    <row r="649" spans="4:5" ht="32.1" hidden="1" customHeight="1">
      <c r="D649" s="155"/>
      <c r="E649" s="154"/>
    </row>
    <row r="650" spans="4:5" ht="32.1" hidden="1" customHeight="1">
      <c r="D650" s="155"/>
      <c r="E650" s="154"/>
    </row>
    <row r="651" spans="4:5" ht="32.1" hidden="1" customHeight="1">
      <c r="D651" s="155"/>
      <c r="E651" s="154"/>
    </row>
  </sheetData>
  <autoFilter ref="A1:P385"/>
  <mergeCells count="6">
    <mergeCell ref="M1:M2"/>
    <mergeCell ref="A1:A2"/>
    <mergeCell ref="B1:B2"/>
    <mergeCell ref="C1:C2"/>
    <mergeCell ref="D1:D2"/>
    <mergeCell ref="E1:E2"/>
  </mergeCells>
  <phoneticPr fontId="11" type="noConversion"/>
  <printOptions horizontalCentered="1"/>
  <pageMargins left="0.19685039370078741" right="0.19685039370078741" top="1.3779527559055118" bottom="0.78740157480314965" header="0.78740157480314965" footer="0.19685039370078741"/>
  <pageSetup paperSize="9" orientation="portrait" horizontalDpi="4294967292" r:id="rId1"/>
  <headerFooter alignWithMargins="0">
    <oddHeader>&amp;C&amp;"굴림,굵게"&amp;18용 지 조 서&amp;R
&amp;"굴림,굵게"&amp;10인천광역시 옹진군 영흥면 내리 2구간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"/>
  <sheetViews>
    <sheetView workbookViewId="0">
      <selection activeCell="J35" sqref="J35"/>
    </sheetView>
  </sheetViews>
  <sheetFormatPr defaultRowHeight="13.5"/>
  <sheetData/>
  <phoneticPr fontId="1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S30"/>
  <sheetViews>
    <sheetView showGridLines="0" showZeros="0" view="pageBreakPreview" workbookViewId="0">
      <selection activeCell="N2" sqref="N2"/>
    </sheetView>
  </sheetViews>
  <sheetFormatPr defaultRowHeight="12"/>
  <cols>
    <col min="1" max="1" width="7.88671875" style="140" customWidth="1"/>
    <col min="2" max="2" width="6.77734375" style="95" customWidth="1"/>
    <col min="3" max="3" width="1.33203125" style="95" customWidth="1"/>
    <col min="4" max="4" width="7.77734375" style="95" customWidth="1"/>
    <col min="5" max="5" width="6.77734375" style="95" customWidth="1"/>
    <col min="6" max="6" width="1.33203125" style="95" customWidth="1"/>
    <col min="7" max="7" width="7.77734375" style="95" customWidth="1"/>
    <col min="8" max="8" width="6.77734375" style="95" customWidth="1"/>
    <col min="9" max="9" width="1.33203125" style="95" customWidth="1"/>
    <col min="10" max="10" width="7.77734375" style="95" customWidth="1"/>
    <col min="11" max="11" width="6.77734375" style="95" customWidth="1"/>
    <col min="12" max="12" width="1.33203125" style="95" customWidth="1"/>
    <col min="13" max="14" width="7.77734375" style="95" customWidth="1"/>
    <col min="15" max="16" width="8.33203125" style="184" customWidth="1"/>
    <col min="17" max="19" width="8.88671875" style="184"/>
    <col min="20" max="16384" width="8.88671875" style="95"/>
  </cols>
  <sheetData>
    <row r="1" spans="1:19" s="139" customFormat="1" ht="30" customHeight="1">
      <c r="A1" s="163" t="s">
        <v>77</v>
      </c>
      <c r="B1" s="96"/>
      <c r="C1" s="96"/>
      <c r="D1" s="94"/>
      <c r="E1" s="94"/>
      <c r="F1" s="96"/>
      <c r="G1" s="96"/>
      <c r="H1" s="94"/>
      <c r="I1" s="96"/>
      <c r="J1" s="96"/>
      <c r="K1" s="96"/>
      <c r="L1" s="96"/>
      <c r="M1" s="96"/>
      <c r="N1" s="96"/>
      <c r="O1" s="74"/>
      <c r="P1" s="74"/>
      <c r="Q1" s="74"/>
      <c r="R1" s="74"/>
      <c r="S1" s="74"/>
    </row>
    <row r="2" spans="1:19" s="142" customFormat="1" ht="15.95" customHeight="1">
      <c r="A2" s="140"/>
      <c r="B2" s="95"/>
      <c r="C2" s="95"/>
      <c r="D2" s="95"/>
      <c r="E2" s="95"/>
      <c r="F2" s="95"/>
      <c r="G2" s="95"/>
      <c r="H2" s="95"/>
      <c r="I2" s="95"/>
      <c r="J2" s="95"/>
      <c r="L2" s="141"/>
      <c r="N2" s="164"/>
      <c r="O2" s="74"/>
      <c r="P2" s="74"/>
      <c r="Q2" s="74"/>
      <c r="R2" s="74"/>
      <c r="S2" s="74"/>
    </row>
    <row r="3" spans="1:19" s="143" customFormat="1" ht="27.95" customHeight="1">
      <c r="A3" s="488" t="s">
        <v>2</v>
      </c>
      <c r="B3" s="165" t="s">
        <v>3</v>
      </c>
      <c r="C3" s="165"/>
      <c r="D3" s="165"/>
      <c r="E3" s="165" t="s">
        <v>80</v>
      </c>
      <c r="F3" s="165"/>
      <c r="G3" s="165"/>
      <c r="H3" s="165" t="s">
        <v>81</v>
      </c>
      <c r="I3" s="165"/>
      <c r="J3" s="165"/>
      <c r="K3" s="165" t="s">
        <v>82</v>
      </c>
      <c r="L3" s="165"/>
      <c r="M3" s="165"/>
      <c r="N3" s="490" t="s">
        <v>22</v>
      </c>
      <c r="O3" s="74"/>
      <c r="P3" s="74"/>
      <c r="Q3" s="74"/>
      <c r="R3" s="74"/>
      <c r="S3" s="74"/>
    </row>
    <row r="4" spans="1:19" s="143" customFormat="1" ht="27.95" customHeight="1">
      <c r="A4" s="489"/>
      <c r="B4" s="169" t="s">
        <v>78</v>
      </c>
      <c r="C4" s="170" t="s">
        <v>5</v>
      </c>
      <c r="D4" s="171" t="s">
        <v>79</v>
      </c>
      <c r="E4" s="169" t="s">
        <v>4</v>
      </c>
      <c r="F4" s="170" t="s">
        <v>5</v>
      </c>
      <c r="G4" s="171" t="s">
        <v>79</v>
      </c>
      <c r="H4" s="169" t="s">
        <v>4</v>
      </c>
      <c r="I4" s="170" t="s">
        <v>5</v>
      </c>
      <c r="J4" s="171" t="s">
        <v>79</v>
      </c>
      <c r="K4" s="169" t="s">
        <v>4</v>
      </c>
      <c r="L4" s="170" t="s">
        <v>5</v>
      </c>
      <c r="M4" s="171" t="s">
        <v>79</v>
      </c>
      <c r="N4" s="491"/>
      <c r="O4" s="74"/>
      <c r="P4" s="74"/>
      <c r="Q4" s="74"/>
      <c r="R4" s="74"/>
      <c r="S4" s="74"/>
    </row>
    <row r="5" spans="1:19" s="143" customFormat="1" ht="23.1" customHeight="1">
      <c r="A5" s="179" t="s">
        <v>3</v>
      </c>
      <c r="B5" s="172">
        <f>SUM(B6:B30)</f>
        <v>0</v>
      </c>
      <c r="C5" s="173" t="s">
        <v>5</v>
      </c>
      <c r="D5" s="174">
        <f>SUM(D6:D30)</f>
        <v>0</v>
      </c>
      <c r="E5" s="172">
        <f>SUM(E6:E30)</f>
        <v>0</v>
      </c>
      <c r="F5" s="173" t="s">
        <v>5</v>
      </c>
      <c r="G5" s="174">
        <f>SUM(G6:G30)</f>
        <v>0</v>
      </c>
      <c r="H5" s="172">
        <f>SUM(H6:H30)</f>
        <v>0</v>
      </c>
      <c r="I5" s="173" t="s">
        <v>5</v>
      </c>
      <c r="J5" s="174">
        <f>SUM(J6:J30)</f>
        <v>0</v>
      </c>
      <c r="K5" s="172">
        <f>SUM(K6:K30)</f>
        <v>0</v>
      </c>
      <c r="L5" s="173" t="s">
        <v>5</v>
      </c>
      <c r="M5" s="174">
        <f>SUM(M6:M30)</f>
        <v>0</v>
      </c>
      <c r="N5" s="168"/>
      <c r="O5" s="74" t="str">
        <f>IF(D5=(G5+J5+M5),"ok","false")</f>
        <v>ok</v>
      </c>
      <c r="P5" s="74"/>
      <c r="Q5" s="74" t="s">
        <v>70</v>
      </c>
      <c r="R5" s="74" t="s">
        <v>71</v>
      </c>
      <c r="S5" s="74" t="s">
        <v>98</v>
      </c>
    </row>
    <row r="6" spans="1:19" s="143" customFormat="1" ht="23.1" customHeight="1">
      <c r="A6" s="180" t="s">
        <v>7</v>
      </c>
      <c r="B6" s="175">
        <f>COUNTIF(신흥리!$C$3:$C$955,P6)</f>
        <v>0</v>
      </c>
      <c r="C6" s="76" t="s">
        <v>5</v>
      </c>
      <c r="D6" s="176">
        <f>SUMIF(신흥리!$C$3:$C$955,P6,신흥리!$E$3:$E$955)</f>
        <v>0</v>
      </c>
      <c r="E6" s="175">
        <f>COUNTIF(신흥리!$P$3:$P$955,Q6)</f>
        <v>0</v>
      </c>
      <c r="F6" s="76" t="s">
        <v>5</v>
      </c>
      <c r="G6" s="176">
        <f>SUMIF(신흥리!$P$3:$P$955,Q6,신흥리!$E$3:$E$955)</f>
        <v>0</v>
      </c>
      <c r="H6" s="175">
        <f>COUNTIF(신흥리!$P$3:$P$955,R6)</f>
        <v>0</v>
      </c>
      <c r="I6" s="76" t="s">
        <v>5</v>
      </c>
      <c r="J6" s="176">
        <f>SUMIF(신흥리!$P$3:$P$955,R6,신흥리!$E$3:$E$955)</f>
        <v>0</v>
      </c>
      <c r="K6" s="175">
        <f>COUNTIF(신흥리!$P$3:$P$955,S6)</f>
        <v>0</v>
      </c>
      <c r="L6" s="76" t="s">
        <v>5</v>
      </c>
      <c r="M6" s="176">
        <f>SUMIF(신흥리!$P$3:$P$955,S6,신흥리!$E$3:$E$955)</f>
        <v>0</v>
      </c>
      <c r="N6" s="166"/>
      <c r="O6" s="74" t="str">
        <f t="shared" ref="O6:O30" si="0">IF(D6=(G6+J6+M6),"ok","false")</f>
        <v>ok</v>
      </c>
      <c r="P6" s="74" t="s">
        <v>62</v>
      </c>
      <c r="Q6" s="183" t="str">
        <f>CONCATENATE($P6,Q$5)</f>
        <v>전국</v>
      </c>
      <c r="R6" s="183" t="str">
        <f t="shared" ref="R6:S21" si="1">CONCATENATE($P6,R$5)</f>
        <v>전공</v>
      </c>
      <c r="S6" s="183" t="str">
        <f t="shared" si="1"/>
        <v>전사</v>
      </c>
    </row>
    <row r="7" spans="1:19" s="143" customFormat="1" ht="23.1" customHeight="1">
      <c r="A7" s="180" t="s">
        <v>8</v>
      </c>
      <c r="B7" s="175">
        <f>COUNTIF(신흥리!$C$3:$C$955,P7)</f>
        <v>0</v>
      </c>
      <c r="C7" s="76" t="s">
        <v>5</v>
      </c>
      <c r="D7" s="176">
        <f>SUMIF(신흥리!$C$3:$C$955,P7,신흥리!$E$3:$E$955)</f>
        <v>0</v>
      </c>
      <c r="E7" s="175">
        <f>COUNTIF(신흥리!$P$3:$P$955,"답국")</f>
        <v>0</v>
      </c>
      <c r="F7" s="76" t="s">
        <v>5</v>
      </c>
      <c r="G7" s="176">
        <f>SUMIF(신흥리!$P$3:$P$955,Q7,신흥리!$E$3:$E$955)</f>
        <v>0</v>
      </c>
      <c r="H7" s="175">
        <f>COUNTIF(신흥리!$P$3:$P$955,R7)</f>
        <v>0</v>
      </c>
      <c r="I7" s="76" t="s">
        <v>5</v>
      </c>
      <c r="J7" s="176">
        <f>SUMIF(신흥리!$P$3:$P$955,R7,신흥리!$E$3:$E$955)</f>
        <v>0</v>
      </c>
      <c r="K7" s="175">
        <f>COUNTIF(신흥리!$P$3:$P$955,S7)</f>
        <v>0</v>
      </c>
      <c r="L7" s="76" t="s">
        <v>5</v>
      </c>
      <c r="M7" s="176">
        <f>SUMIF(신흥리!$P$3:$P$955,S7,신흥리!$E$3:$E$955)</f>
        <v>0</v>
      </c>
      <c r="N7" s="166"/>
      <c r="O7" s="74" t="str">
        <f t="shared" si="0"/>
        <v>ok</v>
      </c>
      <c r="P7" s="74" t="s">
        <v>67</v>
      </c>
      <c r="Q7" s="183" t="str">
        <f t="shared" ref="Q7:S30" si="2">CONCATENATE($P7,Q$5)</f>
        <v>답국</v>
      </c>
      <c r="R7" s="183" t="str">
        <f t="shared" si="1"/>
        <v>답공</v>
      </c>
      <c r="S7" s="183" t="str">
        <f t="shared" si="1"/>
        <v>답사</v>
      </c>
    </row>
    <row r="8" spans="1:19" s="143" customFormat="1" ht="23.1" customHeight="1">
      <c r="A8" s="181" t="s">
        <v>9</v>
      </c>
      <c r="B8" s="175">
        <f>COUNTIF(신흥리!$C$3:$C$955,P8)</f>
        <v>0</v>
      </c>
      <c r="C8" s="76" t="s">
        <v>5</v>
      </c>
      <c r="D8" s="176">
        <f>SUMIF(신흥리!$C$3:$C$955,P8,신흥리!$E$3:$E$955)</f>
        <v>0</v>
      </c>
      <c r="E8" s="175">
        <f>COUNTIF(신흥리!$P$3:$P$955,"임국")</f>
        <v>0</v>
      </c>
      <c r="F8" s="76" t="s">
        <v>5</v>
      </c>
      <c r="G8" s="176">
        <f>SUMIF(신흥리!$P$3:$P$955,Q8,신흥리!$E$3:$E$955)</f>
        <v>0</v>
      </c>
      <c r="H8" s="175">
        <f>COUNTIF(신흥리!$P$3:$P$955,R8)</f>
        <v>0</v>
      </c>
      <c r="I8" s="76" t="s">
        <v>5</v>
      </c>
      <c r="J8" s="176">
        <f>SUMIF(신흥리!$P$3:$P$955,R8,신흥리!$E$3:$E$955)</f>
        <v>0</v>
      </c>
      <c r="K8" s="175">
        <f>COUNTIF(신흥리!$P$3:$P$955,S8)</f>
        <v>0</v>
      </c>
      <c r="L8" s="76" t="s">
        <v>5</v>
      </c>
      <c r="M8" s="176">
        <f>SUMIF(신흥리!$P$3:$P$955,S8,신흥리!$E$3:$E$955)</f>
        <v>0</v>
      </c>
      <c r="N8" s="166"/>
      <c r="O8" s="74" t="str">
        <f t="shared" si="0"/>
        <v>ok</v>
      </c>
      <c r="P8" s="74" t="s">
        <v>64</v>
      </c>
      <c r="Q8" s="183" t="str">
        <f t="shared" si="2"/>
        <v>임국</v>
      </c>
      <c r="R8" s="183" t="str">
        <f t="shared" si="1"/>
        <v>임공</v>
      </c>
      <c r="S8" s="183" t="str">
        <f t="shared" si="1"/>
        <v>임사</v>
      </c>
    </row>
    <row r="9" spans="1:19" s="143" customFormat="1" ht="23.1" customHeight="1">
      <c r="A9" s="180" t="s">
        <v>10</v>
      </c>
      <c r="B9" s="175">
        <f>COUNTIF(신흥리!$C$3:$C$955,P9)</f>
        <v>0</v>
      </c>
      <c r="C9" s="76" t="s">
        <v>5</v>
      </c>
      <c r="D9" s="176">
        <f>SUMIF(신흥리!$C$3:$C$955,P9,신흥리!$E$3:$E$955)</f>
        <v>0</v>
      </c>
      <c r="E9" s="175">
        <f>COUNTIF(신흥리!$P$3:$P$955,"대국")</f>
        <v>0</v>
      </c>
      <c r="F9" s="76" t="s">
        <v>5</v>
      </c>
      <c r="G9" s="176">
        <f>SUMIF(신흥리!$P$3:$P$955,Q9,신흥리!$E$3:$E$955)</f>
        <v>0</v>
      </c>
      <c r="H9" s="175">
        <f>COUNTIF(신흥리!$P$3:$P$955,R9)</f>
        <v>0</v>
      </c>
      <c r="I9" s="76" t="s">
        <v>5</v>
      </c>
      <c r="J9" s="176">
        <f>SUMIF(신흥리!$P$3:$P$955,R9,신흥리!$E$3:$E$955)</f>
        <v>0</v>
      </c>
      <c r="K9" s="175">
        <f>COUNTIF(신흥리!$P$3:$P$955,S9)</f>
        <v>0</v>
      </c>
      <c r="L9" s="76" t="s">
        <v>5</v>
      </c>
      <c r="M9" s="176">
        <f>SUMIF(신흥리!$P$3:$P$955,S9,신흥리!$E$3:$E$955)</f>
        <v>0</v>
      </c>
      <c r="N9" s="166"/>
      <c r="O9" s="74" t="str">
        <f t="shared" si="0"/>
        <v>ok</v>
      </c>
      <c r="P9" s="74" t="s">
        <v>61</v>
      </c>
      <c r="Q9" s="183" t="str">
        <f t="shared" si="2"/>
        <v>대국</v>
      </c>
      <c r="R9" s="183" t="str">
        <f t="shared" si="1"/>
        <v>대공</v>
      </c>
      <c r="S9" s="183" t="str">
        <f t="shared" si="1"/>
        <v>대사</v>
      </c>
    </row>
    <row r="10" spans="1:19" s="143" customFormat="1" ht="23.1" customHeight="1">
      <c r="A10" s="180" t="s">
        <v>11</v>
      </c>
      <c r="B10" s="175">
        <f>COUNTIF(신흥리!$C$3:$C$955,P10)</f>
        <v>0</v>
      </c>
      <c r="C10" s="76" t="s">
        <v>5</v>
      </c>
      <c r="D10" s="176">
        <f>SUMIF(신흥리!$C$3:$C$955,P10,신흥리!$E$3:$E$955)</f>
        <v>0</v>
      </c>
      <c r="E10" s="175">
        <f>COUNTIF(신흥리!$P$3:$P$955,"도국")</f>
        <v>0</v>
      </c>
      <c r="F10" s="76" t="s">
        <v>5</v>
      </c>
      <c r="G10" s="176">
        <f>SUMIF(신흥리!$P$3:$P$955,Q10,신흥리!$E$3:$E$955)</f>
        <v>0</v>
      </c>
      <c r="H10" s="175">
        <f>COUNTIF(신흥리!$P$3:$P$955,R10)</f>
        <v>0</v>
      </c>
      <c r="I10" s="76" t="s">
        <v>5</v>
      </c>
      <c r="J10" s="176">
        <f>SUMIF(신흥리!$P$3:$P$955,R10,신흥리!$E$3:$E$955)</f>
        <v>0</v>
      </c>
      <c r="K10" s="175">
        <f>COUNTIF(신흥리!$P$3:$P$955,S10)</f>
        <v>0</v>
      </c>
      <c r="L10" s="76" t="s">
        <v>5</v>
      </c>
      <c r="M10" s="176">
        <f>SUMIF(신흥리!$P$3:$P$955,S10,신흥리!$E$3:$E$955)</f>
        <v>0</v>
      </c>
      <c r="N10" s="166"/>
      <c r="O10" s="74" t="str">
        <f t="shared" si="0"/>
        <v>ok</v>
      </c>
      <c r="P10" s="74" t="s">
        <v>63</v>
      </c>
      <c r="Q10" s="183" t="str">
        <f t="shared" si="2"/>
        <v>도국</v>
      </c>
      <c r="R10" s="183" t="str">
        <f t="shared" si="1"/>
        <v>도공</v>
      </c>
      <c r="S10" s="183" t="str">
        <f t="shared" si="1"/>
        <v>도사</v>
      </c>
    </row>
    <row r="11" spans="1:19" s="143" customFormat="1" ht="23.1" customHeight="1">
      <c r="A11" s="180" t="s">
        <v>13</v>
      </c>
      <c r="B11" s="175">
        <f>COUNTIF(신흥리!$C$3:$C$955,P11)</f>
        <v>0</v>
      </c>
      <c r="C11" s="76" t="s">
        <v>5</v>
      </c>
      <c r="D11" s="176">
        <f>SUMIF(신흥리!$C$3:$C$955,P11,신흥리!$E$3:$E$955)</f>
        <v>0</v>
      </c>
      <c r="E11" s="175">
        <f>COUNTIF(신흥리!$P$3:$P$955,"구국")</f>
        <v>0</v>
      </c>
      <c r="F11" s="76" t="s">
        <v>5</v>
      </c>
      <c r="G11" s="176">
        <f>SUMIF(신흥리!$P$3:$P$955,Q11,신흥리!$E$3:$E$955)</f>
        <v>0</v>
      </c>
      <c r="H11" s="175">
        <f>COUNTIF(신흥리!$P$3:$P$955,R11)</f>
        <v>0</v>
      </c>
      <c r="I11" s="76" t="s">
        <v>5</v>
      </c>
      <c r="J11" s="176">
        <f>SUMIF(신흥리!$P$3:$P$955,R11,신흥리!$E$3:$E$955)</f>
        <v>0</v>
      </c>
      <c r="K11" s="175">
        <f>COUNTIF(신흥리!$P$3:$P$955,S11)</f>
        <v>0</v>
      </c>
      <c r="L11" s="76" t="s">
        <v>5</v>
      </c>
      <c r="M11" s="176">
        <f>SUMIF(신흥리!$P$3:$P$955,S11,신흥리!$E$3:$E$955)</f>
        <v>0</v>
      </c>
      <c r="N11" s="166"/>
      <c r="O11" s="74" t="str">
        <f t="shared" si="0"/>
        <v>ok</v>
      </c>
      <c r="P11" s="74" t="s">
        <v>69</v>
      </c>
      <c r="Q11" s="183" t="str">
        <f t="shared" si="2"/>
        <v>구국</v>
      </c>
      <c r="R11" s="183" t="str">
        <f t="shared" si="1"/>
        <v>구공</v>
      </c>
      <c r="S11" s="183" t="str">
        <f t="shared" si="1"/>
        <v>구사</v>
      </c>
    </row>
    <row r="12" spans="1:19" s="143" customFormat="1" ht="23.1" customHeight="1">
      <c r="A12" s="180" t="s">
        <v>12</v>
      </c>
      <c r="B12" s="175">
        <f>COUNTIF(신흥리!$C$3:$C$955,P12)</f>
        <v>0</v>
      </c>
      <c r="C12" s="76" t="s">
        <v>5</v>
      </c>
      <c r="D12" s="176">
        <f>SUMIF(신흥리!$C$3:$C$955,P12,신흥리!$E$3:$E$955)</f>
        <v>0</v>
      </c>
      <c r="E12" s="175">
        <f>COUNTIF(신흥리!$P$3:$P$955,"천국")</f>
        <v>0</v>
      </c>
      <c r="F12" s="76" t="s">
        <v>5</v>
      </c>
      <c r="G12" s="176">
        <f>SUMIF(신흥리!$P$3:$P$955,Q12,신흥리!$E$3:$E$955)</f>
        <v>0</v>
      </c>
      <c r="H12" s="175">
        <f>COUNTIF(신흥리!$P$3:$P$955,R12)</f>
        <v>0</v>
      </c>
      <c r="I12" s="76" t="s">
        <v>5</v>
      </c>
      <c r="J12" s="176">
        <f>SUMIF(신흥리!$P$3:$P$955,R12,신흥리!$E$3:$E$955)</f>
        <v>0</v>
      </c>
      <c r="K12" s="175">
        <f>COUNTIF(신흥리!$P$3:$P$955,S12)</f>
        <v>0</v>
      </c>
      <c r="L12" s="76" t="s">
        <v>5</v>
      </c>
      <c r="M12" s="176">
        <f>SUMIF(신흥리!$P$3:$P$955,S12,신흥리!$E$3:$E$955)</f>
        <v>0</v>
      </c>
      <c r="N12" s="166"/>
      <c r="O12" s="74" t="str">
        <f t="shared" si="0"/>
        <v>ok</v>
      </c>
      <c r="P12" s="74" t="s">
        <v>83</v>
      </c>
      <c r="Q12" s="183" t="str">
        <f t="shared" si="2"/>
        <v>천국</v>
      </c>
      <c r="R12" s="183" t="str">
        <f t="shared" si="1"/>
        <v>천공</v>
      </c>
      <c r="S12" s="183" t="str">
        <f t="shared" si="1"/>
        <v>천사</v>
      </c>
    </row>
    <row r="13" spans="1:19" s="143" customFormat="1" ht="23.1" customHeight="1">
      <c r="A13" s="180" t="s">
        <v>15</v>
      </c>
      <c r="B13" s="175">
        <f>COUNTIF(신흥리!$C$3:$C$955,P13)</f>
        <v>0</v>
      </c>
      <c r="C13" s="76" t="s">
        <v>5</v>
      </c>
      <c r="D13" s="176">
        <f>SUMIF(신흥리!$C$3:$C$955,P13,신흥리!$E$3:$E$955)</f>
        <v>0</v>
      </c>
      <c r="E13" s="175">
        <f>COUNTIF(신흥리!$P$3:$P$955,"유국")</f>
        <v>0</v>
      </c>
      <c r="F13" s="76" t="s">
        <v>5</v>
      </c>
      <c r="G13" s="176">
        <f>SUMIF(신흥리!$P$3:$P$955,Q13,신흥리!$E$3:$E$955)</f>
        <v>0</v>
      </c>
      <c r="H13" s="175">
        <f>COUNTIF(신흥리!$P$3:$P$955,R13)</f>
        <v>0</v>
      </c>
      <c r="I13" s="76" t="s">
        <v>5</v>
      </c>
      <c r="J13" s="176">
        <f>SUMIF(신흥리!$P$3:$P$955,R13,신흥리!$E$3:$E$955)</f>
        <v>0</v>
      </c>
      <c r="K13" s="175">
        <f>COUNTIF(신흥리!$P$3:$P$955,S13)</f>
        <v>0</v>
      </c>
      <c r="L13" s="76" t="s">
        <v>5</v>
      </c>
      <c r="M13" s="176">
        <f>SUMIF(신흥리!$P$3:$P$955,S13,신흥리!$E$3:$E$955)</f>
        <v>0</v>
      </c>
      <c r="N13" s="166"/>
      <c r="O13" s="74" t="str">
        <f t="shared" si="0"/>
        <v>ok</v>
      </c>
      <c r="P13" s="74" t="s">
        <v>84</v>
      </c>
      <c r="Q13" s="183" t="str">
        <f t="shared" si="2"/>
        <v>유국</v>
      </c>
      <c r="R13" s="183" t="str">
        <f t="shared" si="1"/>
        <v>유공</v>
      </c>
      <c r="S13" s="183" t="str">
        <f t="shared" si="1"/>
        <v>유사</v>
      </c>
    </row>
    <row r="14" spans="1:19" s="143" customFormat="1" ht="23.1" customHeight="1">
      <c r="A14" s="180" t="s">
        <v>14</v>
      </c>
      <c r="B14" s="175">
        <f>COUNTIF(신흥리!$C$3:$C$955,P14)</f>
        <v>0</v>
      </c>
      <c r="C14" s="76" t="s">
        <v>5</v>
      </c>
      <c r="D14" s="176">
        <f>SUMIF(신흥리!$C$3:$C$955,P14,신흥리!$E$3:$E$955)</f>
        <v>0</v>
      </c>
      <c r="E14" s="175">
        <f>COUNTIF(신흥리!$P$3:$P$955,"제국")</f>
        <v>0</v>
      </c>
      <c r="F14" s="76" t="s">
        <v>5</v>
      </c>
      <c r="G14" s="176">
        <f>SUMIF(신흥리!$P$3:$P$955,Q14,신흥리!$E$3:$E$955)</f>
        <v>0</v>
      </c>
      <c r="H14" s="175">
        <f>COUNTIF(신흥리!$P$3:$P$955,R14)</f>
        <v>0</v>
      </c>
      <c r="I14" s="76" t="s">
        <v>5</v>
      </c>
      <c r="J14" s="176">
        <f>SUMIF(신흥리!$P$3:$P$955,R14,신흥리!$E$3:$E$955)</f>
        <v>0</v>
      </c>
      <c r="K14" s="175">
        <f>COUNTIF(신흥리!$P$3:$P$955,S14)</f>
        <v>0</v>
      </c>
      <c r="L14" s="76" t="s">
        <v>5</v>
      </c>
      <c r="M14" s="176">
        <f>SUMIF(신흥리!$P$3:$P$955,S14,신흥리!$E$3:$E$955)</f>
        <v>0</v>
      </c>
      <c r="N14" s="166"/>
      <c r="O14" s="74" t="str">
        <f t="shared" si="0"/>
        <v>ok</v>
      </c>
      <c r="P14" s="74" t="s">
        <v>85</v>
      </c>
      <c r="Q14" s="183" t="str">
        <f t="shared" si="2"/>
        <v>제국</v>
      </c>
      <c r="R14" s="183" t="str">
        <f t="shared" si="1"/>
        <v>제공</v>
      </c>
      <c r="S14" s="183" t="str">
        <f t="shared" si="1"/>
        <v>제사</v>
      </c>
    </row>
    <row r="15" spans="1:19" s="143" customFormat="1" ht="23.1" customHeight="1">
      <c r="A15" s="180" t="s">
        <v>16</v>
      </c>
      <c r="B15" s="175">
        <f>COUNTIF(신흥리!$C$3:$C$955,P15)</f>
        <v>0</v>
      </c>
      <c r="C15" s="76" t="s">
        <v>5</v>
      </c>
      <c r="D15" s="176">
        <f>SUMIF(신흥리!$C$3:$C$955,P15,신흥리!$E$3:$E$955)</f>
        <v>0</v>
      </c>
      <c r="E15" s="175">
        <f>COUNTIF(신흥리!$P$3:$P$955,"과국")</f>
        <v>0</v>
      </c>
      <c r="F15" s="76" t="s">
        <v>5</v>
      </c>
      <c r="G15" s="176">
        <f>SUMIF(신흥리!$P$3:$P$955,Q15,신흥리!$E$3:$E$955)</f>
        <v>0</v>
      </c>
      <c r="H15" s="175">
        <f>COUNTIF(신흥리!$P$3:$P$955,R15)</f>
        <v>0</v>
      </c>
      <c r="I15" s="76" t="s">
        <v>5</v>
      </c>
      <c r="J15" s="176">
        <f>SUMIF(신흥리!$P$3:$P$955,R15,신흥리!$E$3:$E$955)</f>
        <v>0</v>
      </c>
      <c r="K15" s="175">
        <f>COUNTIF(신흥리!$P$3:$P$955,S15)</f>
        <v>0</v>
      </c>
      <c r="L15" s="76" t="s">
        <v>5</v>
      </c>
      <c r="M15" s="176">
        <f>SUMIF(신흥리!$P$3:$P$955,S15,신흥리!$E$3:$E$955)</f>
        <v>0</v>
      </c>
      <c r="N15" s="166"/>
      <c r="O15" s="74" t="str">
        <f t="shared" si="0"/>
        <v>ok</v>
      </c>
      <c r="P15" s="74" t="s">
        <v>86</v>
      </c>
      <c r="Q15" s="183" t="str">
        <f t="shared" si="2"/>
        <v>과국</v>
      </c>
      <c r="R15" s="183" t="str">
        <f t="shared" si="1"/>
        <v>과공</v>
      </c>
      <c r="S15" s="183" t="str">
        <f t="shared" si="1"/>
        <v>과사</v>
      </c>
    </row>
    <row r="16" spans="1:19" s="143" customFormat="1" ht="23.1" customHeight="1">
      <c r="A16" s="180" t="s">
        <v>21</v>
      </c>
      <c r="B16" s="175">
        <f>COUNTIF(신흥리!$C$3:$C$955,P16)</f>
        <v>0</v>
      </c>
      <c r="C16" s="76" t="s">
        <v>5</v>
      </c>
      <c r="D16" s="176">
        <f>SUMIF(신흥리!$C$3:$C$955,P16,신흥리!$E$3:$E$955)</f>
        <v>0</v>
      </c>
      <c r="E16" s="175">
        <f>COUNTIF(신흥리!$P$3:$P$955,"장국")</f>
        <v>0</v>
      </c>
      <c r="F16" s="76" t="s">
        <v>5</v>
      </c>
      <c r="G16" s="176">
        <f>SUMIF(신흥리!$P$3:$P$955,Q16,신흥리!$E$3:$E$955)</f>
        <v>0</v>
      </c>
      <c r="H16" s="175">
        <f>COUNTIF(신흥리!$P$3:$P$955,R16)</f>
        <v>0</v>
      </c>
      <c r="I16" s="76" t="s">
        <v>5</v>
      </c>
      <c r="J16" s="176">
        <f>SUMIF(신흥리!$P$3:$P$955,R16,신흥리!$E$3:$E$955)</f>
        <v>0</v>
      </c>
      <c r="K16" s="175">
        <f>COUNTIF(신흥리!$P$3:$P$955,S16)</f>
        <v>0</v>
      </c>
      <c r="L16" s="76" t="s">
        <v>5</v>
      </c>
      <c r="M16" s="176">
        <f>SUMIF(신흥리!$P$3:$P$955,S16,신흥리!$E$3:$E$955)</f>
        <v>0</v>
      </c>
      <c r="N16" s="166"/>
      <c r="O16" s="74" t="str">
        <f t="shared" si="0"/>
        <v>ok</v>
      </c>
      <c r="P16" s="74" t="s">
        <v>65</v>
      </c>
      <c r="Q16" s="183" t="str">
        <f t="shared" si="2"/>
        <v>장국</v>
      </c>
      <c r="R16" s="183" t="str">
        <f t="shared" si="1"/>
        <v>장공</v>
      </c>
      <c r="S16" s="183" t="str">
        <f t="shared" si="1"/>
        <v>장사</v>
      </c>
    </row>
    <row r="17" spans="1:19" s="143" customFormat="1" ht="23.1" customHeight="1">
      <c r="A17" s="180" t="s">
        <v>18</v>
      </c>
      <c r="B17" s="175">
        <f>COUNTIF(신흥리!$C$3:$C$955,P17)</f>
        <v>0</v>
      </c>
      <c r="C17" s="76" t="s">
        <v>5</v>
      </c>
      <c r="D17" s="176">
        <f>SUMIF(신흥리!$C$3:$C$955,P17,신흥리!$E$3:$E$955)</f>
        <v>0</v>
      </c>
      <c r="E17" s="175">
        <f>COUNTIF(신흥리!$P$3:$P$955,"목국")</f>
        <v>0</v>
      </c>
      <c r="F17" s="76" t="s">
        <v>5</v>
      </c>
      <c r="G17" s="176">
        <f>SUMIF(신흥리!$P$3:$P$955,Q17,신흥리!$E$3:$E$955)</f>
        <v>0</v>
      </c>
      <c r="H17" s="175">
        <f>COUNTIF(신흥리!$P$3:$P$955,R17)</f>
        <v>0</v>
      </c>
      <c r="I17" s="76" t="s">
        <v>5</v>
      </c>
      <c r="J17" s="176">
        <f>SUMIF(신흥리!$P$3:$P$955,R17,신흥리!$E$3:$E$955)</f>
        <v>0</v>
      </c>
      <c r="K17" s="175">
        <f>COUNTIF(신흥리!$P$3:$P$955,S17)</f>
        <v>0</v>
      </c>
      <c r="L17" s="76" t="s">
        <v>5</v>
      </c>
      <c r="M17" s="176">
        <f>SUMIF(신흥리!$P$3:$P$955,S17,신흥리!$E$3:$E$955)</f>
        <v>0</v>
      </c>
      <c r="N17" s="166"/>
      <c r="O17" s="74" t="str">
        <f t="shared" si="0"/>
        <v>ok</v>
      </c>
      <c r="P17" s="74" t="s">
        <v>66</v>
      </c>
      <c r="Q17" s="183" t="str">
        <f t="shared" si="2"/>
        <v>목국</v>
      </c>
      <c r="R17" s="183" t="str">
        <f t="shared" si="1"/>
        <v>목공</v>
      </c>
      <c r="S17" s="183" t="str">
        <f t="shared" si="1"/>
        <v>목사</v>
      </c>
    </row>
    <row r="18" spans="1:19" s="143" customFormat="1" ht="23.1" customHeight="1">
      <c r="A18" s="180" t="s">
        <v>23</v>
      </c>
      <c r="B18" s="175">
        <f>COUNTIF(신흥리!$C$3:$C$955,P18)</f>
        <v>0</v>
      </c>
      <c r="C18" s="76" t="s">
        <v>5</v>
      </c>
      <c r="D18" s="176">
        <f>SUMIF(신흥리!$C$3:$C$955,P18,신흥리!$E$3:$E$955)</f>
        <v>0</v>
      </c>
      <c r="E18" s="175">
        <f>COUNTIF(신흥리!$P$3:$P$955,"학국")</f>
        <v>0</v>
      </c>
      <c r="F18" s="76" t="s">
        <v>5</v>
      </c>
      <c r="G18" s="176">
        <f>SUMIF(신흥리!$P$3:$P$955,Q18,신흥리!$E$3:$E$955)</f>
        <v>0</v>
      </c>
      <c r="H18" s="175">
        <f>COUNTIF(신흥리!$P$3:$P$955,R18)</f>
        <v>0</v>
      </c>
      <c r="I18" s="76" t="s">
        <v>5</v>
      </c>
      <c r="J18" s="176">
        <f>SUMIF(신흥리!$P$3:$P$955,R18,신흥리!$E$3:$E$955)</f>
        <v>0</v>
      </c>
      <c r="K18" s="175">
        <f>COUNTIF(신흥리!$P$3:$P$955,S18)</f>
        <v>0</v>
      </c>
      <c r="L18" s="76" t="s">
        <v>5</v>
      </c>
      <c r="M18" s="176">
        <f>SUMIF(신흥리!$P$3:$P$955,S18,신흥리!$E$3:$E$955)</f>
        <v>0</v>
      </c>
      <c r="N18" s="166"/>
      <c r="O18" s="74" t="str">
        <f t="shared" si="0"/>
        <v>ok</v>
      </c>
      <c r="P18" s="74" t="s">
        <v>87</v>
      </c>
      <c r="Q18" s="183" t="str">
        <f t="shared" si="2"/>
        <v>학국</v>
      </c>
      <c r="R18" s="183" t="str">
        <f t="shared" si="1"/>
        <v>학공</v>
      </c>
      <c r="S18" s="183" t="str">
        <f t="shared" si="1"/>
        <v>학사</v>
      </c>
    </row>
    <row r="19" spans="1:19" s="143" customFormat="1" ht="23.1" customHeight="1">
      <c r="A19" s="180" t="s">
        <v>41</v>
      </c>
      <c r="B19" s="175">
        <f>COUNTIF(신흥리!$C$3:$C$955,P19)</f>
        <v>0</v>
      </c>
      <c r="C19" s="76" t="s">
        <v>5</v>
      </c>
      <c r="D19" s="176">
        <f>SUMIF(신흥리!$C$3:$C$955,P19,신흥리!$E$3:$E$955)</f>
        <v>0</v>
      </c>
      <c r="E19" s="175">
        <f>COUNTIF(신흥리!$P$3:$P$955,"철국")</f>
        <v>0</v>
      </c>
      <c r="F19" s="76" t="s">
        <v>5</v>
      </c>
      <c r="G19" s="176">
        <f>SUMIF(신흥리!$P$3:$P$955,Q19,신흥리!$E$3:$E$955)</f>
        <v>0</v>
      </c>
      <c r="H19" s="175">
        <f>COUNTIF(신흥리!$P$3:$P$955,R19)</f>
        <v>0</v>
      </c>
      <c r="I19" s="76" t="s">
        <v>5</v>
      </c>
      <c r="J19" s="176">
        <f>SUMIF(신흥리!$P$3:$P$955,R19,신흥리!$E$3:$E$955)</f>
        <v>0</v>
      </c>
      <c r="K19" s="175">
        <f>COUNTIF(신흥리!$P$3:$P$955,S19)</f>
        <v>0</v>
      </c>
      <c r="L19" s="76" t="s">
        <v>5</v>
      </c>
      <c r="M19" s="176">
        <f>SUMIF(신흥리!$P$3:$P$955,S19,신흥리!$E$3:$E$955)</f>
        <v>0</v>
      </c>
      <c r="N19" s="166"/>
      <c r="O19" s="74" t="str">
        <f t="shared" si="0"/>
        <v>ok</v>
      </c>
      <c r="P19" s="74" t="s">
        <v>88</v>
      </c>
      <c r="Q19" s="183" t="str">
        <f t="shared" si="2"/>
        <v>철국</v>
      </c>
      <c r="R19" s="183" t="str">
        <f t="shared" si="1"/>
        <v>철공</v>
      </c>
      <c r="S19" s="183" t="str">
        <f t="shared" si="1"/>
        <v>철사</v>
      </c>
    </row>
    <row r="20" spans="1:19" s="143" customFormat="1" ht="23.1" customHeight="1">
      <c r="A20" s="180" t="s">
        <v>17</v>
      </c>
      <c r="B20" s="175">
        <f>COUNTIF(신흥리!$C$3:$C$955,P20)</f>
        <v>0</v>
      </c>
      <c r="C20" s="76" t="s">
        <v>5</v>
      </c>
      <c r="D20" s="176">
        <f>SUMIF(신흥리!$C$3:$C$955,P20,신흥리!$E$3:$E$955)</f>
        <v>0</v>
      </c>
      <c r="E20" s="175">
        <f>COUNTIF(신흥리!$P$3:$P$955,"묘국")</f>
        <v>0</v>
      </c>
      <c r="F20" s="76" t="s">
        <v>5</v>
      </c>
      <c r="G20" s="176">
        <f>SUMIF(신흥리!$P$3:$P$955,Q20,신흥리!$E$3:$E$955)</f>
        <v>0</v>
      </c>
      <c r="H20" s="175">
        <f>COUNTIF(신흥리!$P$3:$P$955,R20)</f>
        <v>0</v>
      </c>
      <c r="I20" s="76" t="s">
        <v>5</v>
      </c>
      <c r="J20" s="176">
        <f>SUMIF(신흥리!$P$3:$P$955,R20,신흥리!$E$3:$E$955)</f>
        <v>0</v>
      </c>
      <c r="K20" s="175">
        <f>COUNTIF(신흥리!$P$3:$P$955,S20)</f>
        <v>0</v>
      </c>
      <c r="L20" s="76" t="s">
        <v>5</v>
      </c>
      <c r="M20" s="176">
        <f>SUMIF(신흥리!$P$3:$P$955,S20,신흥리!$E$3:$E$955)</f>
        <v>0</v>
      </c>
      <c r="N20" s="166"/>
      <c r="O20" s="74" t="str">
        <f t="shared" si="0"/>
        <v>ok</v>
      </c>
      <c r="P20" s="74" t="s">
        <v>68</v>
      </c>
      <c r="Q20" s="183" t="str">
        <f t="shared" si="2"/>
        <v>묘국</v>
      </c>
      <c r="R20" s="183" t="str">
        <f t="shared" si="1"/>
        <v>묘공</v>
      </c>
      <c r="S20" s="183" t="str">
        <f t="shared" si="1"/>
        <v>묘사</v>
      </c>
    </row>
    <row r="21" spans="1:19" s="143" customFormat="1" ht="23.1" customHeight="1">
      <c r="A21" s="180" t="s">
        <v>20</v>
      </c>
      <c r="B21" s="175">
        <f>COUNTIF(신흥리!$C$3:$C$955,P21)</f>
        <v>0</v>
      </c>
      <c r="C21" s="76" t="s">
        <v>5</v>
      </c>
      <c r="D21" s="176">
        <f>SUMIF(신흥리!$C$3:$C$955,P21,신흥리!$E$3:$E$955)</f>
        <v>0</v>
      </c>
      <c r="E21" s="175">
        <f>COUNTIF(신흥리!$P$3:$P$955,"수국")</f>
        <v>0</v>
      </c>
      <c r="F21" s="76" t="s">
        <v>5</v>
      </c>
      <c r="G21" s="176">
        <f>SUMIF(신흥리!$P$3:$P$955,Q21,신흥리!$E$3:$E$955)</f>
        <v>0</v>
      </c>
      <c r="H21" s="175">
        <f>COUNTIF(신흥리!$P$3:$P$955,R21)</f>
        <v>0</v>
      </c>
      <c r="I21" s="76" t="s">
        <v>5</v>
      </c>
      <c r="J21" s="176">
        <f>SUMIF(신흥리!$P$3:$P$955,R21,신흥리!$E$3:$E$955)</f>
        <v>0</v>
      </c>
      <c r="K21" s="175">
        <f>COUNTIF(신흥리!$P$3:$P$955,S21)</f>
        <v>0</v>
      </c>
      <c r="L21" s="76" t="s">
        <v>5</v>
      </c>
      <c r="M21" s="176">
        <f>SUMIF(신흥리!$P$3:$P$955,S21,신흥리!$E$3:$E$955)</f>
        <v>0</v>
      </c>
      <c r="N21" s="166"/>
      <c r="O21" s="74" t="str">
        <f t="shared" si="0"/>
        <v>ok</v>
      </c>
      <c r="P21" s="74" t="s">
        <v>89</v>
      </c>
      <c r="Q21" s="183" t="str">
        <f t="shared" si="2"/>
        <v>수국</v>
      </c>
      <c r="R21" s="183" t="str">
        <f t="shared" si="1"/>
        <v>수공</v>
      </c>
      <c r="S21" s="183" t="str">
        <f t="shared" si="1"/>
        <v>수사</v>
      </c>
    </row>
    <row r="22" spans="1:19" s="143" customFormat="1" ht="23.1" customHeight="1">
      <c r="A22" s="180" t="s">
        <v>19</v>
      </c>
      <c r="B22" s="175">
        <f>COUNTIF(신흥리!$C$3:$C$955,P22)</f>
        <v>0</v>
      </c>
      <c r="C22" s="76" t="s">
        <v>5</v>
      </c>
      <c r="D22" s="176">
        <f>SUMIF(신흥리!$C$3:$C$955,P22,신흥리!$E$3:$E$955)</f>
        <v>0</v>
      </c>
      <c r="E22" s="175">
        <f>COUNTIF(신흥리!$P$3:$P$955,"잡국")</f>
        <v>0</v>
      </c>
      <c r="F22" s="76" t="s">
        <v>5</v>
      </c>
      <c r="G22" s="176">
        <f>SUMIF(신흥리!$P$3:$P$955,Q22,신흥리!$E$3:$E$955)</f>
        <v>0</v>
      </c>
      <c r="H22" s="175">
        <f>COUNTIF(신흥리!$P$3:$P$955,R22)</f>
        <v>0</v>
      </c>
      <c r="I22" s="76" t="s">
        <v>5</v>
      </c>
      <c r="J22" s="176">
        <f>SUMIF(신흥리!$P$3:$P$955,R22,신흥리!$E$3:$E$955)</f>
        <v>0</v>
      </c>
      <c r="K22" s="175">
        <f>COUNTIF(신흥리!$P$3:$P$955,S22)</f>
        <v>0</v>
      </c>
      <c r="L22" s="76" t="s">
        <v>5</v>
      </c>
      <c r="M22" s="176">
        <f>SUMIF(신흥리!$P$3:$P$955,S22,신흥리!$E$3:$E$955)</f>
        <v>0</v>
      </c>
      <c r="N22" s="166"/>
      <c r="O22" s="74" t="str">
        <f t="shared" si="0"/>
        <v>ok</v>
      </c>
      <c r="P22" s="74" t="s">
        <v>90</v>
      </c>
      <c r="Q22" s="183" t="str">
        <f t="shared" si="2"/>
        <v>잡국</v>
      </c>
      <c r="R22" s="183" t="str">
        <f t="shared" si="2"/>
        <v>잡공</v>
      </c>
      <c r="S22" s="183" t="str">
        <f t="shared" si="2"/>
        <v>잡사</v>
      </c>
    </row>
    <row r="23" spans="1:19" s="143" customFormat="1" ht="23.1" customHeight="1">
      <c r="A23" s="180" t="s">
        <v>42</v>
      </c>
      <c r="B23" s="175">
        <f>COUNTIF(신흥리!$C$3:$C$955,P23)</f>
        <v>0</v>
      </c>
      <c r="C23" s="76" t="s">
        <v>5</v>
      </c>
      <c r="D23" s="176">
        <f>SUMIF(신흥리!$C$3:$C$955,P23,신흥리!$E$3:$E$955)</f>
        <v>0</v>
      </c>
      <c r="E23" s="175">
        <f>COUNTIF(신흥리!$P$3:$P$955,"종국")</f>
        <v>0</v>
      </c>
      <c r="F23" s="76" t="s">
        <v>5</v>
      </c>
      <c r="G23" s="176">
        <f>SUMIF(신흥리!$P$3:$P$955,Q23,신흥리!$E$3:$E$955)</f>
        <v>0</v>
      </c>
      <c r="H23" s="175">
        <f>COUNTIF(신흥리!$P$3:$P$955,R23)</f>
        <v>0</v>
      </c>
      <c r="I23" s="76" t="s">
        <v>5</v>
      </c>
      <c r="J23" s="176">
        <f>SUMIF(신흥리!$P$3:$P$955,R23,신흥리!$E$3:$E$955)</f>
        <v>0</v>
      </c>
      <c r="K23" s="175">
        <f>COUNTIF(신흥리!$P$3:$P$955,S23)</f>
        <v>0</v>
      </c>
      <c r="L23" s="76" t="s">
        <v>5</v>
      </c>
      <c r="M23" s="176">
        <f>SUMIF(신흥리!$P$3:$P$955,S23,신흥리!$E$3:$E$955)</f>
        <v>0</v>
      </c>
      <c r="N23" s="166"/>
      <c r="O23" s="74" t="str">
        <f t="shared" si="0"/>
        <v>ok</v>
      </c>
      <c r="P23" s="74" t="s">
        <v>91</v>
      </c>
      <c r="Q23" s="183" t="str">
        <f t="shared" si="2"/>
        <v>종국</v>
      </c>
      <c r="R23" s="183" t="str">
        <f t="shared" si="2"/>
        <v>종공</v>
      </c>
      <c r="S23" s="183" t="str">
        <f t="shared" si="2"/>
        <v>종사</v>
      </c>
    </row>
    <row r="24" spans="1:19" s="143" customFormat="1" ht="23.1" customHeight="1">
      <c r="A24" s="180" t="s">
        <v>43</v>
      </c>
      <c r="B24" s="175">
        <f>COUNTIF(신흥리!$C$3:$C$955,P24)</f>
        <v>0</v>
      </c>
      <c r="C24" s="76" t="s">
        <v>5</v>
      </c>
      <c r="D24" s="176">
        <f>SUMIF(신흥리!$C$3:$C$955,P24,신흥리!$E$3:$E$955)</f>
        <v>0</v>
      </c>
      <c r="E24" s="175">
        <f>COUNTIF(신흥리!$P$3:$P$955,"염국")</f>
        <v>0</v>
      </c>
      <c r="F24" s="76" t="s">
        <v>5</v>
      </c>
      <c r="G24" s="176">
        <f>SUMIF(신흥리!$P$3:$P$955,Q24,신흥리!$E$3:$E$955)</f>
        <v>0</v>
      </c>
      <c r="H24" s="175">
        <f>COUNTIF(신흥리!$P$3:$P$955,R24)</f>
        <v>0</v>
      </c>
      <c r="I24" s="76" t="s">
        <v>5</v>
      </c>
      <c r="J24" s="176">
        <f>SUMIF(신흥리!$P$3:$P$955,R24,신흥리!$E$3:$E$955)</f>
        <v>0</v>
      </c>
      <c r="K24" s="175">
        <f>COUNTIF(신흥리!$P$3:$P$955,S24)</f>
        <v>0</v>
      </c>
      <c r="L24" s="76" t="s">
        <v>5</v>
      </c>
      <c r="M24" s="176">
        <f>SUMIF(신흥리!$P$3:$P$955,S24,신흥리!$E$3:$E$955)</f>
        <v>0</v>
      </c>
      <c r="N24" s="166"/>
      <c r="O24" s="74" t="str">
        <f t="shared" si="0"/>
        <v>ok</v>
      </c>
      <c r="P24" s="74" t="s">
        <v>92</v>
      </c>
      <c r="Q24" s="183" t="str">
        <f t="shared" si="2"/>
        <v>염국</v>
      </c>
      <c r="R24" s="183" t="str">
        <f t="shared" si="2"/>
        <v>염공</v>
      </c>
      <c r="S24" s="183" t="str">
        <f t="shared" si="2"/>
        <v>염사</v>
      </c>
    </row>
    <row r="25" spans="1:19" s="143" customFormat="1" ht="23.1" customHeight="1">
      <c r="A25" s="180" t="s">
        <v>44</v>
      </c>
      <c r="B25" s="175">
        <f>COUNTIF(신흥리!$C$3:$C$955,P25)</f>
        <v>0</v>
      </c>
      <c r="C25" s="76" t="s">
        <v>5</v>
      </c>
      <c r="D25" s="176">
        <f>SUMIF(신흥리!$C$3:$C$955,P25,신흥리!$E$3:$E$955)</f>
        <v>0</v>
      </c>
      <c r="E25" s="175">
        <f>COUNTIF(신흥리!$P$3:$P$955,"공국")</f>
        <v>0</v>
      </c>
      <c r="F25" s="76" t="s">
        <v>5</v>
      </c>
      <c r="G25" s="176">
        <f>SUMIF(신흥리!$P$3:$P$955,Q25,신흥리!$E$3:$E$955)</f>
        <v>0</v>
      </c>
      <c r="H25" s="175">
        <f>COUNTIF(신흥리!$P$3:$P$955,R25)</f>
        <v>0</v>
      </c>
      <c r="I25" s="76" t="s">
        <v>5</v>
      </c>
      <c r="J25" s="176">
        <f>SUMIF(신흥리!$P$3:$P$955,R25,신흥리!$E$3:$E$955)</f>
        <v>0</v>
      </c>
      <c r="K25" s="175">
        <f>COUNTIF(신흥리!$P$3:$P$955,S25)</f>
        <v>0</v>
      </c>
      <c r="L25" s="76" t="s">
        <v>5</v>
      </c>
      <c r="M25" s="176">
        <f>SUMIF(신흥리!$P$3:$P$955,S25,신흥리!$E$3:$E$955)</f>
        <v>0</v>
      </c>
      <c r="N25" s="166"/>
      <c r="O25" s="74" t="str">
        <f t="shared" si="0"/>
        <v>ok</v>
      </c>
      <c r="P25" s="74" t="s">
        <v>71</v>
      </c>
      <c r="Q25" s="183" t="str">
        <f t="shared" si="2"/>
        <v>공국</v>
      </c>
      <c r="R25" s="183" t="str">
        <f t="shared" si="2"/>
        <v>공공</v>
      </c>
      <c r="S25" s="183" t="str">
        <f t="shared" si="2"/>
        <v>공사</v>
      </c>
    </row>
    <row r="26" spans="1:19" s="143" customFormat="1" ht="23.1" customHeight="1">
      <c r="A26" s="180" t="s">
        <v>45</v>
      </c>
      <c r="B26" s="175">
        <f>COUNTIF(신흥리!$C$3:$C$955,P26)</f>
        <v>0</v>
      </c>
      <c r="C26" s="76" t="s">
        <v>5</v>
      </c>
      <c r="D26" s="176">
        <f>SUMIF(신흥리!$C$3:$C$955,P26,신흥리!$E$3:$E$955)</f>
        <v>0</v>
      </c>
      <c r="E26" s="175">
        <f>COUNTIF(신흥리!$P$3:$P$955,"체국")</f>
        <v>0</v>
      </c>
      <c r="F26" s="76" t="s">
        <v>5</v>
      </c>
      <c r="G26" s="176">
        <f>SUMIF(신흥리!$P$3:$P$955,Q26,신흥리!$E$3:$E$955)</f>
        <v>0</v>
      </c>
      <c r="H26" s="175">
        <f>COUNTIF(신흥리!$P$3:$P$955,R26)</f>
        <v>0</v>
      </c>
      <c r="I26" s="76" t="s">
        <v>5</v>
      </c>
      <c r="J26" s="176">
        <f>SUMIF(신흥리!$P$3:$P$955,R26,신흥리!$E$3:$E$955)</f>
        <v>0</v>
      </c>
      <c r="K26" s="175">
        <f>COUNTIF(신흥리!$P$3:$P$955,S26)</f>
        <v>0</v>
      </c>
      <c r="L26" s="76" t="s">
        <v>5</v>
      </c>
      <c r="M26" s="176">
        <f>SUMIF(신흥리!$P$3:$P$955,S26,신흥리!$E$3:$E$955)</f>
        <v>0</v>
      </c>
      <c r="N26" s="166"/>
      <c r="O26" s="74" t="str">
        <f t="shared" si="0"/>
        <v>ok</v>
      </c>
      <c r="P26" s="74" t="s">
        <v>93</v>
      </c>
      <c r="Q26" s="183" t="str">
        <f t="shared" si="2"/>
        <v>체국</v>
      </c>
      <c r="R26" s="183" t="str">
        <f t="shared" si="2"/>
        <v>체공</v>
      </c>
      <c r="S26" s="183" t="str">
        <f t="shared" si="2"/>
        <v>체사</v>
      </c>
    </row>
    <row r="27" spans="1:19" s="143" customFormat="1" ht="23.1" customHeight="1">
      <c r="A27" s="180" t="s">
        <v>60</v>
      </c>
      <c r="B27" s="175">
        <f>COUNTIF(신흥리!$C$3:$C$955,P27)</f>
        <v>0</v>
      </c>
      <c r="C27" s="76" t="s">
        <v>5</v>
      </c>
      <c r="D27" s="176">
        <f>SUMIF(신흥리!$C$3:$C$955,P27,신흥리!$E$3:$E$955)</f>
        <v>0</v>
      </c>
      <c r="E27" s="175">
        <f>COUNTIF(신흥리!$P$3:$P$955,"차국")</f>
        <v>0</v>
      </c>
      <c r="F27" s="76" t="s">
        <v>5</v>
      </c>
      <c r="G27" s="176">
        <f>SUMIF(신흥리!$P$3:$P$955,Q27,신흥리!$E$3:$E$955)</f>
        <v>0</v>
      </c>
      <c r="H27" s="175">
        <f>COUNTIF(신흥리!$P$3:$P$955,R27)</f>
        <v>0</v>
      </c>
      <c r="I27" s="76" t="s">
        <v>5</v>
      </c>
      <c r="J27" s="176">
        <f>SUMIF(신흥리!$P$3:$P$955,R27,신흥리!$E$3:$E$955)</f>
        <v>0</v>
      </c>
      <c r="K27" s="175">
        <f>COUNTIF(신흥리!$P$3:$P$955,S27)</f>
        <v>0</v>
      </c>
      <c r="L27" s="76" t="s">
        <v>5</v>
      </c>
      <c r="M27" s="176">
        <f>SUMIF(신흥리!$P$3:$P$955,S27,신흥리!$E$3:$E$955)</f>
        <v>0</v>
      </c>
      <c r="N27" s="166"/>
      <c r="O27" s="74" t="str">
        <f t="shared" si="0"/>
        <v>ok</v>
      </c>
      <c r="P27" s="74" t="s">
        <v>96</v>
      </c>
      <c r="Q27" s="183" t="str">
        <f t="shared" si="2"/>
        <v>차국</v>
      </c>
      <c r="R27" s="183" t="str">
        <f t="shared" si="2"/>
        <v>차공</v>
      </c>
      <c r="S27" s="183" t="str">
        <f t="shared" si="2"/>
        <v>차사</v>
      </c>
    </row>
    <row r="28" spans="1:19" s="143" customFormat="1" ht="23.1" customHeight="1">
      <c r="A28" s="180" t="s">
        <v>56</v>
      </c>
      <c r="B28" s="175">
        <f>COUNTIF(신흥리!$C$3:$C$955,P28)</f>
        <v>0</v>
      </c>
      <c r="C28" s="76" t="s">
        <v>5</v>
      </c>
      <c r="D28" s="176">
        <f>SUMIF(신흥리!$C$3:$C$955,P28,신흥리!$E$3:$E$955)</f>
        <v>0</v>
      </c>
      <c r="E28" s="175">
        <f>COUNTIF(신흥리!$P$3:$P$955,"주국")</f>
        <v>0</v>
      </c>
      <c r="F28" s="76" t="s">
        <v>5</v>
      </c>
      <c r="G28" s="176">
        <f>SUMIF(신흥리!$P$3:$P$955,Q28,신흥리!$E$3:$E$955)</f>
        <v>0</v>
      </c>
      <c r="H28" s="175">
        <f>COUNTIF(신흥리!$P$3:$P$955,R28)</f>
        <v>0</v>
      </c>
      <c r="I28" s="76" t="s">
        <v>5</v>
      </c>
      <c r="J28" s="176">
        <f>SUMIF(신흥리!$P$3:$P$955,R28,신흥리!$E$3:$E$955)</f>
        <v>0</v>
      </c>
      <c r="K28" s="175">
        <f>COUNTIF(신흥리!$P$3:$P$955,S28)</f>
        <v>0</v>
      </c>
      <c r="L28" s="76" t="s">
        <v>5</v>
      </c>
      <c r="M28" s="176">
        <f>SUMIF(신흥리!$P$3:$P$955,S28,신흥리!$E$3:$E$955)</f>
        <v>0</v>
      </c>
      <c r="N28" s="166"/>
      <c r="O28" s="74" t="str">
        <f t="shared" si="0"/>
        <v>ok</v>
      </c>
      <c r="P28" s="74" t="s">
        <v>94</v>
      </c>
      <c r="Q28" s="183" t="str">
        <f t="shared" si="2"/>
        <v>주국</v>
      </c>
      <c r="R28" s="183" t="str">
        <f t="shared" si="2"/>
        <v>주공</v>
      </c>
      <c r="S28" s="183" t="str">
        <f t="shared" si="2"/>
        <v>주사</v>
      </c>
    </row>
    <row r="29" spans="1:19" s="143" customFormat="1" ht="23.1" customHeight="1">
      <c r="A29" s="180" t="s">
        <v>57</v>
      </c>
      <c r="B29" s="175">
        <f>COUNTIF(신흥리!$C$3:$C$955,P29)</f>
        <v>0</v>
      </c>
      <c r="C29" s="76" t="s">
        <v>5</v>
      </c>
      <c r="D29" s="176">
        <f>SUMIF(신흥리!$C$3:$C$955,P29,신흥리!$E$3:$E$955)</f>
        <v>0</v>
      </c>
      <c r="E29" s="175">
        <f>COUNTIF(신흥리!$P$3:$P$955,"창국")</f>
        <v>0</v>
      </c>
      <c r="F29" s="76" t="s">
        <v>5</v>
      </c>
      <c r="G29" s="176">
        <f>SUMIF(신흥리!$P$3:$P$955,Q29,신흥리!$E$3:$E$955)</f>
        <v>0</v>
      </c>
      <c r="H29" s="175">
        <f>COUNTIF(신흥리!$P$3:$P$955,R29)</f>
        <v>0</v>
      </c>
      <c r="I29" s="76" t="s">
        <v>5</v>
      </c>
      <c r="J29" s="176">
        <f>SUMIF(신흥리!$P$3:$P$955,R29,신흥리!$E$3:$E$955)</f>
        <v>0</v>
      </c>
      <c r="K29" s="175">
        <f>COUNTIF(신흥리!$P$3:$P$955,S29)</f>
        <v>0</v>
      </c>
      <c r="L29" s="76" t="s">
        <v>5</v>
      </c>
      <c r="M29" s="176">
        <f>SUMIF(신흥리!$P$3:$P$955,S29,신흥리!$E$3:$E$955)</f>
        <v>0</v>
      </c>
      <c r="N29" s="166"/>
      <c r="O29" s="74" t="str">
        <f t="shared" si="0"/>
        <v>ok</v>
      </c>
      <c r="P29" s="74" t="s">
        <v>95</v>
      </c>
      <c r="Q29" s="183" t="str">
        <f t="shared" si="2"/>
        <v>창국</v>
      </c>
      <c r="R29" s="183" t="str">
        <f t="shared" si="2"/>
        <v>창공</v>
      </c>
      <c r="S29" s="183" t="str">
        <f t="shared" si="2"/>
        <v>창사</v>
      </c>
    </row>
    <row r="30" spans="1:19" s="143" customFormat="1" ht="23.1" customHeight="1">
      <c r="A30" s="182" t="s">
        <v>24</v>
      </c>
      <c r="B30" s="177">
        <f>COUNTIF(신흥리!$C$3:$C$955,P30)</f>
        <v>0</v>
      </c>
      <c r="C30" s="81" t="s">
        <v>5</v>
      </c>
      <c r="D30" s="178">
        <f>SUMIF(신흥리!$C$3:$C$955,P30,신흥리!$E$3:$E$955)</f>
        <v>0</v>
      </c>
      <c r="E30" s="177">
        <f>COUNTIF(신흥리!$P$3:$P$955,"가국")</f>
        <v>0</v>
      </c>
      <c r="F30" s="81" t="s">
        <v>5</v>
      </c>
      <c r="G30" s="178">
        <f>SUMIF(신흥리!$P$3:$P$955,Q30,신흥리!$E$3:$E$955)</f>
        <v>0</v>
      </c>
      <c r="H30" s="177">
        <f>COUNTIF(신흥리!$P$3:$P$955,R30)</f>
        <v>0</v>
      </c>
      <c r="I30" s="81" t="s">
        <v>5</v>
      </c>
      <c r="J30" s="178">
        <f>SUMIF(신흥리!$P$3:$P$955,R30,신흥리!$E$3:$E$955)</f>
        <v>0</v>
      </c>
      <c r="K30" s="177">
        <f>COUNTIF(신흥리!$P$3:$P$955,S30)</f>
        <v>0</v>
      </c>
      <c r="L30" s="81" t="s">
        <v>5</v>
      </c>
      <c r="M30" s="178">
        <f>SUMIF(신흥리!$P$3:$P$955,S30,신흥리!$E$3:$E$955)</f>
        <v>0</v>
      </c>
      <c r="N30" s="167"/>
      <c r="O30" s="74" t="str">
        <f t="shared" si="0"/>
        <v>ok</v>
      </c>
      <c r="P30" s="74" t="s">
        <v>97</v>
      </c>
      <c r="Q30" s="183" t="str">
        <f t="shared" si="2"/>
        <v>가국</v>
      </c>
      <c r="R30" s="183" t="str">
        <f t="shared" si="2"/>
        <v>가공</v>
      </c>
      <c r="S30" s="183" t="str">
        <f t="shared" si="2"/>
        <v>가사</v>
      </c>
    </row>
  </sheetData>
  <mergeCells count="2">
    <mergeCell ref="A3:A4"/>
    <mergeCell ref="N3:N4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Y485"/>
  <sheetViews>
    <sheetView showGridLines="0" showZeros="0" view="pageBreakPreview" zoomScaleSheetLayoutView="100" workbookViewId="0">
      <pane ySplit="2" topLeftCell="A3" activePane="bottomLeft" state="frozen"/>
      <selection activeCell="N2" sqref="N2"/>
      <selection pane="bottomLeft" activeCell="N2" sqref="N2"/>
    </sheetView>
  </sheetViews>
  <sheetFormatPr defaultRowHeight="11.25"/>
  <cols>
    <col min="1" max="1" width="3.77734375" style="113" customWidth="1"/>
    <col min="2" max="2" width="6.44140625" style="121" customWidth="1"/>
    <col min="3" max="3" width="3.77734375" style="113" customWidth="1"/>
    <col min="4" max="4" width="7.77734375" style="113" customWidth="1"/>
    <col min="5" max="5" width="7.77734375" style="122" customWidth="1"/>
    <col min="6" max="6" width="3.77734375" style="113" hidden="1" customWidth="1"/>
    <col min="7" max="7" width="5.6640625" style="113" hidden="1" customWidth="1"/>
    <col min="8" max="8" width="6.77734375" style="113" customWidth="1"/>
    <col min="9" max="9" width="15.77734375" style="113" customWidth="1"/>
    <col min="10" max="10" width="6.77734375" style="152" customWidth="1"/>
    <col min="11" max="11" width="12.77734375" style="113" customWidth="1"/>
    <col min="12" max="12" width="6.77734375" style="113" customWidth="1"/>
    <col min="13" max="13" width="4.77734375" style="113" customWidth="1"/>
    <col min="14" max="15" width="8.77734375" style="113" customWidth="1"/>
    <col min="16" max="16" width="10.77734375" style="123" customWidth="1"/>
    <col min="17" max="21" width="9.77734375" style="113" customWidth="1"/>
    <col min="22" max="22" width="10.77734375" style="113" customWidth="1"/>
    <col min="23" max="16384" width="8.88671875" style="113"/>
  </cols>
  <sheetData>
    <row r="1" spans="1:22" ht="24.95" customHeight="1">
      <c r="A1" s="494" t="s">
        <v>99</v>
      </c>
      <c r="B1" s="496" t="s">
        <v>72</v>
      </c>
      <c r="C1" s="498" t="s">
        <v>28</v>
      </c>
      <c r="D1" s="498" t="s">
        <v>100</v>
      </c>
      <c r="E1" s="498" t="s">
        <v>101</v>
      </c>
      <c r="F1" s="214" t="s">
        <v>31</v>
      </c>
      <c r="G1" s="214"/>
      <c r="H1" s="214" t="s">
        <v>73</v>
      </c>
      <c r="I1" s="214"/>
      <c r="J1" s="214" t="s">
        <v>76</v>
      </c>
      <c r="K1" s="214"/>
      <c r="L1" s="214"/>
      <c r="M1" s="492" t="s">
        <v>22</v>
      </c>
      <c r="N1" s="185"/>
      <c r="O1" s="185"/>
      <c r="P1" s="116"/>
      <c r="Q1" s="117"/>
      <c r="R1" s="117"/>
      <c r="S1" s="117"/>
      <c r="T1" s="117"/>
      <c r="U1" s="117"/>
      <c r="V1" s="117"/>
    </row>
    <row r="2" spans="1:22" ht="24.95" customHeight="1">
      <c r="A2" s="495"/>
      <c r="B2" s="497"/>
      <c r="C2" s="499"/>
      <c r="D2" s="499"/>
      <c r="E2" s="499"/>
      <c r="F2" s="220" t="s">
        <v>28</v>
      </c>
      <c r="G2" s="220" t="s">
        <v>35</v>
      </c>
      <c r="H2" s="221" t="s">
        <v>74</v>
      </c>
      <c r="I2" s="221" t="s">
        <v>75</v>
      </c>
      <c r="J2" s="221" t="s">
        <v>74</v>
      </c>
      <c r="K2" s="221" t="s">
        <v>75</v>
      </c>
      <c r="L2" s="221" t="s">
        <v>38</v>
      </c>
      <c r="M2" s="493"/>
      <c r="N2" s="186"/>
      <c r="O2" s="186"/>
      <c r="P2" s="118"/>
      <c r="Q2" s="119"/>
      <c r="R2" s="119"/>
      <c r="S2" s="119"/>
      <c r="T2" s="119"/>
      <c r="U2" s="119"/>
      <c r="V2" s="115"/>
    </row>
    <row r="3" spans="1:22" s="158" customFormat="1" ht="30" customHeight="1">
      <c r="A3" s="193"/>
      <c r="B3" s="231"/>
      <c r="C3" s="231"/>
      <c r="D3" s="228"/>
      <c r="E3" s="228"/>
      <c r="F3" s="194"/>
      <c r="G3" s="194"/>
      <c r="H3" s="232"/>
      <c r="I3" s="242"/>
      <c r="J3" s="196"/>
      <c r="K3" s="196"/>
      <c r="L3" s="196"/>
      <c r="M3" s="198"/>
      <c r="N3" s="188">
        <v>3</v>
      </c>
      <c r="O3" s="187" t="str">
        <f>IF(N3=1,"국",IF(N3=2,"공","사"))</f>
        <v>사</v>
      </c>
      <c r="P3" s="156" t="str">
        <f>CONCATENATE(C3,O3)</f>
        <v>사</v>
      </c>
      <c r="Q3" s="157"/>
      <c r="R3" s="157"/>
      <c r="S3" s="157"/>
      <c r="T3" s="157"/>
      <c r="U3" s="157"/>
      <c r="V3" s="159"/>
    </row>
    <row r="4" spans="1:22" s="158" customFormat="1" ht="30" customHeight="1">
      <c r="A4" s="193"/>
      <c r="B4" s="231"/>
      <c r="C4" s="227"/>
      <c r="D4" s="228"/>
      <c r="E4" s="228"/>
      <c r="F4" s="194"/>
      <c r="G4" s="194"/>
      <c r="H4" s="230"/>
      <c r="I4" s="233"/>
      <c r="J4" s="196"/>
      <c r="K4" s="196"/>
      <c r="L4" s="196"/>
      <c r="M4" s="198"/>
      <c r="N4" s="188">
        <v>3</v>
      </c>
      <c r="O4" s="187" t="str">
        <f t="shared" ref="O4:O26" si="0">IF(N4=1,"국",IF(N4=2,"공","사"))</f>
        <v>사</v>
      </c>
      <c r="P4" s="156" t="str">
        <f t="shared" ref="P4:P26" si="1">CONCATENATE(C4,O4)</f>
        <v>사</v>
      </c>
      <c r="Q4" s="157"/>
      <c r="R4" s="157"/>
      <c r="S4" s="157"/>
      <c r="T4" s="157"/>
      <c r="U4" s="157"/>
      <c r="V4" s="159"/>
    </row>
    <row r="5" spans="1:22" s="158" customFormat="1" ht="30" customHeight="1">
      <c r="A5" s="193"/>
      <c r="B5" s="231"/>
      <c r="C5" s="231"/>
      <c r="D5" s="228"/>
      <c r="E5" s="228"/>
      <c r="F5" s="194"/>
      <c r="G5" s="194"/>
      <c r="H5" s="234"/>
      <c r="I5" s="233"/>
      <c r="J5" s="196"/>
      <c r="K5" s="196"/>
      <c r="L5" s="196"/>
      <c r="M5" s="198"/>
      <c r="N5" s="188">
        <v>3</v>
      </c>
      <c r="O5" s="187" t="str">
        <f t="shared" si="0"/>
        <v>사</v>
      </c>
      <c r="P5" s="156" t="str">
        <f t="shared" si="1"/>
        <v>사</v>
      </c>
      <c r="Q5" s="157"/>
      <c r="R5" s="157"/>
      <c r="S5" s="157"/>
      <c r="T5" s="157"/>
      <c r="U5" s="157"/>
      <c r="V5" s="159"/>
    </row>
    <row r="6" spans="1:22" s="158" customFormat="1" ht="30" customHeight="1">
      <c r="A6" s="193"/>
      <c r="B6" s="231"/>
      <c r="C6" s="227"/>
      <c r="D6" s="229"/>
      <c r="E6" s="229"/>
      <c r="F6" s="194"/>
      <c r="G6" s="194"/>
      <c r="H6" s="240"/>
      <c r="I6" s="233"/>
      <c r="J6" s="196"/>
      <c r="K6" s="196"/>
      <c r="L6" s="196"/>
      <c r="M6" s="198"/>
      <c r="N6" s="188">
        <v>3</v>
      </c>
      <c r="O6" s="187" t="str">
        <f t="shared" si="0"/>
        <v>사</v>
      </c>
      <c r="P6" s="156" t="str">
        <f t="shared" si="1"/>
        <v>사</v>
      </c>
      <c r="Q6" s="157"/>
      <c r="R6" s="157"/>
      <c r="S6" s="157"/>
      <c r="T6" s="157"/>
      <c r="U6" s="157"/>
      <c r="V6" s="159"/>
    </row>
    <row r="7" spans="1:22" s="158" customFormat="1" ht="30" customHeight="1">
      <c r="A7" s="193"/>
      <c r="B7" s="231"/>
      <c r="C7" s="227"/>
      <c r="D7" s="228"/>
      <c r="E7" s="228"/>
      <c r="F7" s="194"/>
      <c r="G7" s="194"/>
      <c r="H7" s="230"/>
      <c r="I7" s="233"/>
      <c r="J7" s="196"/>
      <c r="K7" s="196"/>
      <c r="L7" s="196"/>
      <c r="M7" s="198"/>
      <c r="N7" s="188">
        <v>3</v>
      </c>
      <c r="O7" s="187" t="str">
        <f t="shared" si="0"/>
        <v>사</v>
      </c>
      <c r="P7" s="156" t="str">
        <f t="shared" si="1"/>
        <v>사</v>
      </c>
      <c r="Q7" s="157"/>
      <c r="R7" s="157"/>
      <c r="S7" s="157"/>
      <c r="T7" s="157"/>
      <c r="U7" s="157"/>
      <c r="V7" s="159"/>
    </row>
    <row r="8" spans="1:22" s="158" customFormat="1" ht="30" customHeight="1">
      <c r="A8" s="193"/>
      <c r="B8" s="231"/>
      <c r="C8" s="231"/>
      <c r="D8" s="229"/>
      <c r="E8" s="228"/>
      <c r="F8" s="194"/>
      <c r="G8" s="194"/>
      <c r="H8" s="237"/>
      <c r="I8" s="233"/>
      <c r="J8" s="196"/>
      <c r="K8" s="196"/>
      <c r="L8" s="196"/>
      <c r="M8" s="198"/>
      <c r="N8" s="188">
        <v>3</v>
      </c>
      <c r="O8" s="187" t="str">
        <f t="shared" si="0"/>
        <v>사</v>
      </c>
      <c r="P8" s="156" t="str">
        <f t="shared" si="1"/>
        <v>사</v>
      </c>
      <c r="Q8" s="157"/>
      <c r="R8" s="157"/>
      <c r="S8" s="157"/>
      <c r="T8" s="157"/>
      <c r="U8" s="157"/>
      <c r="V8" s="159"/>
    </row>
    <row r="9" spans="1:22" s="158" customFormat="1" ht="30" customHeight="1">
      <c r="A9" s="193"/>
      <c r="B9" s="231"/>
      <c r="C9" s="231"/>
      <c r="D9" s="228"/>
      <c r="E9" s="228"/>
      <c r="F9" s="194"/>
      <c r="G9" s="194"/>
      <c r="H9" s="230"/>
      <c r="I9" s="242"/>
      <c r="J9" s="196"/>
      <c r="K9" s="196"/>
      <c r="L9" s="196"/>
      <c r="M9" s="198"/>
      <c r="N9" s="188">
        <v>3</v>
      </c>
      <c r="O9" s="187" t="str">
        <f t="shared" si="0"/>
        <v>사</v>
      </c>
      <c r="P9" s="156" t="str">
        <f t="shared" si="1"/>
        <v>사</v>
      </c>
      <c r="Q9" s="157"/>
      <c r="R9" s="157"/>
      <c r="S9" s="157"/>
      <c r="T9" s="157"/>
      <c r="U9" s="157"/>
      <c r="V9" s="159"/>
    </row>
    <row r="10" spans="1:22" s="158" customFormat="1" ht="30" customHeight="1">
      <c r="A10" s="193"/>
      <c r="B10" s="231"/>
      <c r="C10" s="231"/>
      <c r="D10" s="228"/>
      <c r="E10" s="228"/>
      <c r="F10" s="194"/>
      <c r="G10" s="194"/>
      <c r="H10" s="237"/>
      <c r="I10" s="233"/>
      <c r="J10" s="196"/>
      <c r="K10" s="196"/>
      <c r="L10" s="196"/>
      <c r="M10" s="198"/>
      <c r="N10" s="188">
        <v>1</v>
      </c>
      <c r="O10" s="187" t="str">
        <f t="shared" si="0"/>
        <v>국</v>
      </c>
      <c r="P10" s="156" t="str">
        <f t="shared" si="1"/>
        <v>국</v>
      </c>
      <c r="Q10" s="157"/>
      <c r="R10" s="157"/>
      <c r="S10" s="157"/>
      <c r="T10" s="157"/>
      <c r="U10" s="157"/>
      <c r="V10" s="159"/>
    </row>
    <row r="11" spans="1:22" s="158" customFormat="1" ht="30" customHeight="1">
      <c r="A11" s="193"/>
      <c r="B11" s="226"/>
      <c r="C11" s="231"/>
      <c r="D11" s="229"/>
      <c r="E11" s="228"/>
      <c r="F11" s="194"/>
      <c r="G11" s="194"/>
      <c r="H11" s="234"/>
      <c r="I11" s="233"/>
      <c r="J11" s="196"/>
      <c r="K11" s="196"/>
      <c r="L11" s="196"/>
      <c r="M11" s="198"/>
      <c r="N11" s="188">
        <v>1</v>
      </c>
      <c r="O11" s="187" t="str">
        <f t="shared" si="0"/>
        <v>국</v>
      </c>
      <c r="P11" s="156" t="str">
        <f t="shared" si="1"/>
        <v>국</v>
      </c>
      <c r="Q11" s="157"/>
      <c r="R11" s="157"/>
      <c r="S11" s="157"/>
      <c r="T11" s="157"/>
      <c r="U11" s="157"/>
      <c r="V11" s="159"/>
    </row>
    <row r="12" spans="1:22" s="158" customFormat="1" ht="30" customHeight="1">
      <c r="A12" s="193"/>
      <c r="B12" s="231"/>
      <c r="C12" s="231"/>
      <c r="D12" s="228"/>
      <c r="E12" s="228"/>
      <c r="F12" s="194"/>
      <c r="G12" s="194"/>
      <c r="H12" s="232"/>
      <c r="I12" s="233"/>
      <c r="J12" s="196"/>
      <c r="K12" s="196"/>
      <c r="L12" s="196"/>
      <c r="M12" s="198"/>
      <c r="N12" s="188">
        <v>3</v>
      </c>
      <c r="O12" s="187" t="str">
        <f t="shared" si="0"/>
        <v>사</v>
      </c>
      <c r="P12" s="156" t="str">
        <f t="shared" si="1"/>
        <v>사</v>
      </c>
      <c r="Q12" s="157"/>
      <c r="R12" s="157"/>
      <c r="S12" s="157"/>
      <c r="T12" s="157"/>
      <c r="U12" s="157"/>
      <c r="V12" s="159"/>
    </row>
    <row r="13" spans="1:22" s="158" customFormat="1" ht="30" customHeight="1">
      <c r="A13" s="193"/>
      <c r="B13" s="231"/>
      <c r="C13" s="231"/>
      <c r="D13" s="228"/>
      <c r="E13" s="228"/>
      <c r="F13" s="194"/>
      <c r="G13" s="194"/>
      <c r="H13" s="237"/>
      <c r="I13" s="233"/>
      <c r="J13" s="196"/>
      <c r="K13" s="196"/>
      <c r="L13" s="196"/>
      <c r="M13" s="198"/>
      <c r="N13" s="188">
        <v>3</v>
      </c>
      <c r="O13" s="187" t="str">
        <f t="shared" si="0"/>
        <v>사</v>
      </c>
      <c r="P13" s="156" t="str">
        <f t="shared" si="1"/>
        <v>사</v>
      </c>
      <c r="Q13" s="157"/>
      <c r="R13" s="157"/>
      <c r="S13" s="157"/>
      <c r="T13" s="157"/>
      <c r="U13" s="157"/>
      <c r="V13" s="159"/>
    </row>
    <row r="14" spans="1:22" s="158" customFormat="1" ht="30" customHeight="1">
      <c r="A14" s="193"/>
      <c r="B14" s="231"/>
      <c r="C14" s="231"/>
      <c r="D14" s="229"/>
      <c r="E14" s="229"/>
      <c r="F14" s="194"/>
      <c r="G14" s="194"/>
      <c r="H14" s="237"/>
      <c r="I14" s="233"/>
      <c r="J14" s="196"/>
      <c r="K14" s="196"/>
      <c r="L14" s="196"/>
      <c r="M14" s="198"/>
      <c r="N14" s="188">
        <v>3</v>
      </c>
      <c r="O14" s="187" t="str">
        <f t="shared" si="0"/>
        <v>사</v>
      </c>
      <c r="P14" s="156" t="str">
        <f t="shared" si="1"/>
        <v>사</v>
      </c>
      <c r="Q14" s="157"/>
      <c r="R14" s="157"/>
      <c r="S14" s="157"/>
      <c r="T14" s="157"/>
      <c r="U14" s="157"/>
      <c r="V14" s="159"/>
    </row>
    <row r="15" spans="1:22" s="158" customFormat="1" ht="30" customHeight="1">
      <c r="A15" s="193"/>
      <c r="B15" s="231"/>
      <c r="C15" s="231"/>
      <c r="D15" s="228"/>
      <c r="E15" s="228"/>
      <c r="F15" s="194"/>
      <c r="G15" s="194"/>
      <c r="H15" s="237"/>
      <c r="I15" s="242"/>
      <c r="J15" s="196"/>
      <c r="K15" s="196"/>
      <c r="L15" s="196"/>
      <c r="M15" s="198"/>
      <c r="N15" s="188">
        <v>3</v>
      </c>
      <c r="O15" s="187" t="str">
        <f t="shared" si="0"/>
        <v>사</v>
      </c>
      <c r="P15" s="156" t="str">
        <f t="shared" si="1"/>
        <v>사</v>
      </c>
      <c r="Q15" s="157"/>
      <c r="R15" s="157"/>
      <c r="S15" s="157"/>
      <c r="T15" s="157"/>
      <c r="U15" s="157"/>
      <c r="V15" s="159"/>
    </row>
    <row r="16" spans="1:22" s="158" customFormat="1" ht="30" customHeight="1">
      <c r="A16" s="193"/>
      <c r="B16" s="231"/>
      <c r="C16" s="227"/>
      <c r="D16" s="229"/>
      <c r="E16" s="229"/>
      <c r="F16" s="194"/>
      <c r="G16" s="194"/>
      <c r="H16" s="238"/>
      <c r="I16" s="242"/>
      <c r="J16" s="196"/>
      <c r="K16" s="196"/>
      <c r="L16" s="196"/>
      <c r="M16" s="198"/>
      <c r="N16" s="188">
        <v>3</v>
      </c>
      <c r="O16" s="187" t="str">
        <f t="shared" si="0"/>
        <v>사</v>
      </c>
      <c r="P16" s="156" t="str">
        <f t="shared" si="1"/>
        <v>사</v>
      </c>
      <c r="Q16" s="157"/>
      <c r="R16" s="157"/>
      <c r="S16" s="157"/>
      <c r="T16" s="157"/>
      <c r="U16" s="157"/>
      <c r="V16" s="159"/>
    </row>
    <row r="17" spans="1:25" s="158" customFormat="1" ht="30" customHeight="1">
      <c r="A17" s="193"/>
      <c r="B17" s="231"/>
      <c r="C17" s="227"/>
      <c r="D17" s="228"/>
      <c r="E17" s="228"/>
      <c r="F17" s="194"/>
      <c r="G17" s="194"/>
      <c r="H17" s="230"/>
      <c r="I17" s="233"/>
      <c r="J17" s="196"/>
      <c r="K17" s="196"/>
      <c r="L17" s="196"/>
      <c r="M17" s="198"/>
      <c r="N17" s="188">
        <v>3</v>
      </c>
      <c r="O17" s="187" t="str">
        <f t="shared" si="0"/>
        <v>사</v>
      </c>
      <c r="P17" s="156" t="str">
        <f t="shared" si="1"/>
        <v>사</v>
      </c>
      <c r="Q17" s="157"/>
      <c r="R17" s="157"/>
      <c r="S17" s="157"/>
      <c r="T17" s="157"/>
      <c r="U17" s="157"/>
      <c r="V17" s="159"/>
    </row>
    <row r="18" spans="1:25" s="158" customFormat="1" ht="30" customHeight="1">
      <c r="A18" s="193"/>
      <c r="B18" s="231"/>
      <c r="C18" s="227"/>
      <c r="D18" s="228"/>
      <c r="E18" s="228"/>
      <c r="F18" s="194"/>
      <c r="G18" s="194"/>
      <c r="H18" s="230"/>
      <c r="I18" s="233"/>
      <c r="J18" s="196"/>
      <c r="K18" s="196"/>
      <c r="L18" s="196"/>
      <c r="M18" s="198"/>
      <c r="N18" s="188">
        <v>3</v>
      </c>
      <c r="O18" s="187" t="str">
        <f t="shared" si="0"/>
        <v>사</v>
      </c>
      <c r="P18" s="156" t="str">
        <f t="shared" si="1"/>
        <v>사</v>
      </c>
      <c r="Q18" s="157"/>
      <c r="R18" s="157"/>
      <c r="S18" s="157"/>
      <c r="T18" s="157"/>
      <c r="U18" s="157"/>
      <c r="V18" s="159"/>
    </row>
    <row r="19" spans="1:25" s="158" customFormat="1" ht="30" customHeight="1">
      <c r="A19" s="193"/>
      <c r="B19" s="231"/>
      <c r="C19" s="227"/>
      <c r="D19" s="228"/>
      <c r="E19" s="228"/>
      <c r="F19" s="194"/>
      <c r="G19" s="194"/>
      <c r="H19" s="230"/>
      <c r="I19" s="233"/>
      <c r="J19" s="196"/>
      <c r="K19" s="196"/>
      <c r="L19" s="196"/>
      <c r="M19" s="198"/>
      <c r="N19" s="188">
        <v>3</v>
      </c>
      <c r="O19" s="187" t="str">
        <f t="shared" si="0"/>
        <v>사</v>
      </c>
      <c r="P19" s="156" t="str">
        <f t="shared" si="1"/>
        <v>사</v>
      </c>
      <c r="Q19" s="157"/>
      <c r="R19" s="157"/>
      <c r="S19" s="157"/>
      <c r="T19" s="157"/>
      <c r="U19" s="157"/>
      <c r="V19" s="159"/>
    </row>
    <row r="20" spans="1:25" s="158" customFormat="1" ht="30" customHeight="1">
      <c r="A20" s="193"/>
      <c r="B20" s="231"/>
      <c r="C20" s="227"/>
      <c r="D20" s="229"/>
      <c r="E20" s="229"/>
      <c r="F20" s="194"/>
      <c r="G20" s="194"/>
      <c r="H20" s="240"/>
      <c r="I20" s="233"/>
      <c r="J20" s="196"/>
      <c r="K20" s="196"/>
      <c r="L20" s="196"/>
      <c r="M20" s="198"/>
      <c r="N20" s="188">
        <v>3</v>
      </c>
      <c r="O20" s="187" t="str">
        <f t="shared" si="0"/>
        <v>사</v>
      </c>
      <c r="P20" s="156" t="str">
        <f t="shared" si="1"/>
        <v>사</v>
      </c>
      <c r="Q20" s="157"/>
      <c r="R20" s="157"/>
      <c r="S20" s="157"/>
      <c r="T20" s="157"/>
      <c r="U20" s="157"/>
      <c r="V20" s="159"/>
    </row>
    <row r="21" spans="1:25" s="158" customFormat="1" ht="30" customHeight="1">
      <c r="A21" s="193"/>
      <c r="B21" s="231"/>
      <c r="C21" s="227"/>
      <c r="D21" s="228"/>
      <c r="E21" s="228"/>
      <c r="F21" s="194"/>
      <c r="G21" s="194"/>
      <c r="H21" s="230"/>
      <c r="I21" s="233"/>
      <c r="J21" s="196"/>
      <c r="K21" s="196"/>
      <c r="L21" s="196"/>
      <c r="M21" s="198"/>
      <c r="N21" s="188">
        <v>3</v>
      </c>
      <c r="O21" s="187" t="str">
        <f t="shared" si="0"/>
        <v>사</v>
      </c>
      <c r="P21" s="156" t="str">
        <f t="shared" si="1"/>
        <v>사</v>
      </c>
      <c r="Q21" s="157"/>
      <c r="R21" s="157"/>
      <c r="S21" s="157"/>
      <c r="T21" s="157"/>
      <c r="U21" s="157"/>
      <c r="V21" s="159"/>
    </row>
    <row r="22" spans="1:25" s="158" customFormat="1" ht="30" customHeight="1">
      <c r="A22" s="193"/>
      <c r="B22" s="231"/>
      <c r="C22" s="231"/>
      <c r="D22" s="229"/>
      <c r="E22" s="228"/>
      <c r="F22" s="194"/>
      <c r="G22" s="194"/>
      <c r="H22" s="230"/>
      <c r="I22" s="233"/>
      <c r="J22" s="196"/>
      <c r="K22" s="196"/>
      <c r="L22" s="196"/>
      <c r="M22" s="198"/>
      <c r="N22" s="188">
        <v>3</v>
      </c>
      <c r="O22" s="187" t="str">
        <f t="shared" si="0"/>
        <v>사</v>
      </c>
      <c r="P22" s="156" t="str">
        <f t="shared" si="1"/>
        <v>사</v>
      </c>
      <c r="Q22" s="157"/>
      <c r="R22" s="157"/>
      <c r="S22" s="157"/>
      <c r="T22" s="157"/>
      <c r="U22" s="157"/>
      <c r="V22" s="159"/>
    </row>
    <row r="23" spans="1:25" s="158" customFormat="1" ht="30" customHeight="1">
      <c r="A23" s="306" t="s">
        <v>109</v>
      </c>
      <c r="B23" s="307"/>
      <c r="C23" s="307"/>
      <c r="D23" s="308"/>
      <c r="E23" s="308">
        <f>SUBTOTAL(9,E3:E22)</f>
        <v>0</v>
      </c>
      <c r="F23" s="309"/>
      <c r="G23" s="309"/>
      <c r="H23" s="309"/>
      <c r="I23" s="309"/>
      <c r="J23" s="309"/>
      <c r="K23" s="309"/>
      <c r="L23" s="309"/>
      <c r="M23" s="310"/>
      <c r="N23" s="190"/>
      <c r="O23" s="190"/>
      <c r="P23" s="156" t="str">
        <f>CONCATENATE(C23,H23)</f>
        <v/>
      </c>
      <c r="Q23" s="157"/>
      <c r="R23" s="157"/>
      <c r="S23" s="157"/>
      <c r="T23" s="157"/>
      <c r="U23" s="157"/>
      <c r="V23" s="157"/>
    </row>
    <row r="24" spans="1:25" s="158" customFormat="1" ht="30" customHeight="1">
      <c r="A24" s="215"/>
      <c r="B24" s="311"/>
      <c r="C24" s="311"/>
      <c r="D24" s="224"/>
      <c r="E24" s="224"/>
      <c r="F24" s="216"/>
      <c r="G24" s="216"/>
      <c r="H24" s="312"/>
      <c r="I24" s="243"/>
      <c r="J24" s="218"/>
      <c r="K24" s="218"/>
      <c r="L24" s="218"/>
      <c r="M24" s="219"/>
      <c r="N24" s="187">
        <v>1</v>
      </c>
      <c r="O24" s="187" t="str">
        <f t="shared" si="0"/>
        <v>국</v>
      </c>
      <c r="P24" s="156" t="str">
        <f t="shared" si="1"/>
        <v>국</v>
      </c>
      <c r="Q24" s="157"/>
      <c r="R24" s="157"/>
      <c r="S24" s="157"/>
      <c r="T24" s="157"/>
      <c r="U24" s="157"/>
      <c r="V24" s="160"/>
      <c r="W24" s="157"/>
      <c r="X24" s="157"/>
      <c r="Y24" s="157"/>
    </row>
    <row r="25" spans="1:25" s="158" customFormat="1" ht="30" customHeight="1">
      <c r="A25" s="193"/>
      <c r="B25" s="231"/>
      <c r="C25" s="231"/>
      <c r="D25" s="229"/>
      <c r="E25" s="228"/>
      <c r="F25" s="194"/>
      <c r="G25" s="194"/>
      <c r="H25" s="230"/>
      <c r="I25" s="233"/>
      <c r="J25" s="196"/>
      <c r="K25" s="196"/>
      <c r="L25" s="196"/>
      <c r="M25" s="197"/>
      <c r="N25" s="187">
        <v>1</v>
      </c>
      <c r="O25" s="187" t="str">
        <f t="shared" si="0"/>
        <v>국</v>
      </c>
      <c r="P25" s="156" t="str">
        <f t="shared" si="1"/>
        <v>국</v>
      </c>
      <c r="Q25" s="157"/>
      <c r="R25" s="157"/>
      <c r="S25" s="157"/>
      <c r="T25" s="157"/>
      <c r="U25" s="157"/>
      <c r="V25" s="157"/>
    </row>
    <row r="26" spans="1:25" s="158" customFormat="1" ht="30" customHeight="1">
      <c r="A26" s="193"/>
      <c r="B26" s="231"/>
      <c r="C26" s="231"/>
      <c r="D26" s="228"/>
      <c r="E26" s="228"/>
      <c r="F26" s="194"/>
      <c r="G26" s="194"/>
      <c r="H26" s="230"/>
      <c r="I26" s="233"/>
      <c r="J26" s="196"/>
      <c r="K26" s="196"/>
      <c r="L26" s="196"/>
      <c r="M26" s="197"/>
      <c r="N26" s="187">
        <v>1</v>
      </c>
      <c r="O26" s="187" t="str">
        <f t="shared" si="0"/>
        <v>국</v>
      </c>
      <c r="P26" s="156" t="str">
        <f t="shared" si="1"/>
        <v>국</v>
      </c>
      <c r="Q26" s="157"/>
      <c r="R26" s="157"/>
      <c r="S26" s="157"/>
      <c r="T26" s="157"/>
      <c r="U26" s="157"/>
      <c r="V26" s="157"/>
    </row>
    <row r="27" spans="1:25" s="158" customFormat="1" ht="30" customHeight="1">
      <c r="A27" s="193"/>
      <c r="B27" s="231"/>
      <c r="C27" s="231"/>
      <c r="D27" s="228"/>
      <c r="E27" s="228"/>
      <c r="F27" s="194"/>
      <c r="G27" s="194"/>
      <c r="H27" s="230"/>
      <c r="I27" s="233"/>
      <c r="J27" s="196"/>
      <c r="K27" s="196"/>
      <c r="L27" s="196"/>
      <c r="M27" s="197"/>
      <c r="N27" s="187"/>
      <c r="O27" s="187"/>
      <c r="P27" s="156"/>
      <c r="Q27" s="157"/>
      <c r="R27" s="157"/>
      <c r="S27" s="157"/>
      <c r="T27" s="157"/>
      <c r="U27" s="157"/>
      <c r="V27" s="157"/>
    </row>
    <row r="28" spans="1:25" s="158" customFormat="1" ht="30" customHeight="1">
      <c r="A28" s="193"/>
      <c r="B28" s="231"/>
      <c r="C28" s="231"/>
      <c r="D28" s="228"/>
      <c r="E28" s="228"/>
      <c r="F28" s="194"/>
      <c r="G28" s="194"/>
      <c r="H28" s="230"/>
      <c r="I28" s="233"/>
      <c r="J28" s="196"/>
      <c r="K28" s="196"/>
      <c r="L28" s="196"/>
      <c r="M28" s="197"/>
      <c r="N28" s="187"/>
      <c r="O28" s="187"/>
      <c r="P28" s="156"/>
      <c r="Q28" s="157"/>
      <c r="R28" s="157"/>
      <c r="S28" s="157"/>
      <c r="T28" s="157"/>
      <c r="U28" s="157"/>
      <c r="V28" s="157"/>
    </row>
    <row r="29" spans="1:25" s="158" customFormat="1" ht="30" customHeight="1">
      <c r="A29" s="193"/>
      <c r="B29" s="231"/>
      <c r="C29" s="231"/>
      <c r="D29" s="228"/>
      <c r="E29" s="228"/>
      <c r="F29" s="194"/>
      <c r="G29" s="194"/>
      <c r="H29" s="230"/>
      <c r="I29" s="233"/>
      <c r="J29" s="196"/>
      <c r="K29" s="196"/>
      <c r="L29" s="196"/>
      <c r="M29" s="197"/>
      <c r="N29" s="187"/>
      <c r="O29" s="187"/>
      <c r="P29" s="156"/>
      <c r="Q29" s="157"/>
      <c r="R29" s="157"/>
      <c r="S29" s="157"/>
      <c r="T29" s="157"/>
      <c r="U29" s="157"/>
      <c r="V29" s="157"/>
    </row>
    <row r="30" spans="1:25" s="158" customFormat="1" ht="30" customHeight="1">
      <c r="A30" s="193"/>
      <c r="B30" s="231"/>
      <c r="C30" s="231"/>
      <c r="D30" s="228"/>
      <c r="E30" s="228"/>
      <c r="F30" s="194"/>
      <c r="G30" s="194"/>
      <c r="H30" s="230"/>
      <c r="I30" s="233"/>
      <c r="J30" s="196"/>
      <c r="K30" s="196"/>
      <c r="L30" s="196"/>
      <c r="M30" s="197"/>
      <c r="N30" s="187"/>
      <c r="O30" s="187"/>
      <c r="P30" s="156"/>
      <c r="Q30" s="157"/>
      <c r="R30" s="157"/>
      <c r="S30" s="157"/>
      <c r="T30" s="157"/>
      <c r="U30" s="157"/>
      <c r="V30" s="157"/>
    </row>
    <row r="31" spans="1:25" s="158" customFormat="1" ht="30" customHeight="1">
      <c r="A31" s="193"/>
      <c r="B31" s="231"/>
      <c r="C31" s="231"/>
      <c r="D31" s="228"/>
      <c r="E31" s="228"/>
      <c r="F31" s="194"/>
      <c r="G31" s="194"/>
      <c r="H31" s="230"/>
      <c r="I31" s="233"/>
      <c r="J31" s="196"/>
      <c r="K31" s="196"/>
      <c r="L31" s="196"/>
      <c r="M31" s="197"/>
      <c r="N31" s="187"/>
      <c r="O31" s="187"/>
      <c r="P31" s="156"/>
      <c r="Q31" s="157"/>
      <c r="R31" s="157"/>
      <c r="S31" s="157"/>
      <c r="T31" s="157"/>
      <c r="U31" s="157"/>
      <c r="V31" s="157"/>
    </row>
    <row r="32" spans="1:25" s="158" customFormat="1" ht="30" customHeight="1">
      <c r="A32" s="193"/>
      <c r="B32" s="231"/>
      <c r="C32" s="231"/>
      <c r="D32" s="228"/>
      <c r="E32" s="228"/>
      <c r="F32" s="194"/>
      <c r="G32" s="194"/>
      <c r="H32" s="230"/>
      <c r="I32" s="233"/>
      <c r="J32" s="196"/>
      <c r="K32" s="196"/>
      <c r="L32" s="196"/>
      <c r="M32" s="197"/>
      <c r="N32" s="187"/>
      <c r="O32" s="187"/>
      <c r="P32" s="156"/>
      <c r="Q32" s="157"/>
      <c r="R32" s="157"/>
      <c r="S32" s="157"/>
      <c r="T32" s="157"/>
      <c r="U32" s="157"/>
      <c r="V32" s="157"/>
    </row>
    <row r="33" spans="1:22" s="158" customFormat="1" ht="30" customHeight="1">
      <c r="A33" s="193"/>
      <c r="B33" s="231"/>
      <c r="C33" s="231"/>
      <c r="D33" s="228"/>
      <c r="E33" s="228"/>
      <c r="F33" s="194"/>
      <c r="G33" s="194"/>
      <c r="H33" s="230"/>
      <c r="I33" s="233"/>
      <c r="J33" s="196"/>
      <c r="K33" s="196"/>
      <c r="L33" s="196"/>
      <c r="M33" s="197"/>
      <c r="N33" s="187"/>
      <c r="O33" s="187"/>
      <c r="P33" s="156"/>
      <c r="Q33" s="157"/>
      <c r="R33" s="157"/>
      <c r="S33" s="157"/>
      <c r="T33" s="157"/>
      <c r="U33" s="157"/>
      <c r="V33" s="157"/>
    </row>
    <row r="34" spans="1:22" s="158" customFormat="1" ht="30" customHeight="1">
      <c r="A34" s="193"/>
      <c r="B34" s="231"/>
      <c r="C34" s="231"/>
      <c r="D34" s="228"/>
      <c r="E34" s="228"/>
      <c r="F34" s="194"/>
      <c r="G34" s="194"/>
      <c r="H34" s="230"/>
      <c r="I34" s="233"/>
      <c r="J34" s="196"/>
      <c r="K34" s="196"/>
      <c r="L34" s="196"/>
      <c r="M34" s="197"/>
      <c r="N34" s="187"/>
      <c r="O34" s="187"/>
      <c r="P34" s="156"/>
      <c r="Q34" s="157"/>
      <c r="R34" s="157"/>
      <c r="S34" s="157"/>
      <c r="T34" s="157"/>
      <c r="U34" s="157"/>
      <c r="V34" s="157"/>
    </row>
    <row r="35" spans="1:22" s="158" customFormat="1" ht="30" customHeight="1">
      <c r="A35" s="193"/>
      <c r="B35" s="231"/>
      <c r="C35" s="231"/>
      <c r="D35" s="228"/>
      <c r="E35" s="228"/>
      <c r="F35" s="194"/>
      <c r="G35" s="194"/>
      <c r="H35" s="230"/>
      <c r="I35" s="233"/>
      <c r="J35" s="196"/>
      <c r="K35" s="196"/>
      <c r="L35" s="196"/>
      <c r="M35" s="197"/>
      <c r="N35" s="187"/>
      <c r="O35" s="187"/>
      <c r="P35" s="156"/>
      <c r="Q35" s="157"/>
      <c r="R35" s="157"/>
      <c r="S35" s="157"/>
      <c r="T35" s="157"/>
      <c r="U35" s="157"/>
      <c r="V35" s="157"/>
    </row>
    <row r="36" spans="1:22" s="158" customFormat="1" ht="30" customHeight="1">
      <c r="A36" s="193"/>
      <c r="B36" s="204"/>
      <c r="C36" s="204"/>
      <c r="D36" s="205"/>
      <c r="E36" s="205"/>
      <c r="F36" s="194"/>
      <c r="G36" s="194"/>
      <c r="H36" s="206"/>
      <c r="I36" s="206"/>
      <c r="J36" s="196"/>
      <c r="K36" s="196"/>
      <c r="L36" s="196"/>
      <c r="M36" s="197"/>
      <c r="N36" s="187"/>
      <c r="O36" s="187"/>
      <c r="P36" s="156"/>
      <c r="Q36" s="157"/>
      <c r="R36" s="157"/>
      <c r="S36" s="157"/>
      <c r="T36" s="157"/>
      <c r="U36" s="157"/>
      <c r="V36" s="157"/>
    </row>
    <row r="37" spans="1:22" s="158" customFormat="1" ht="30" customHeight="1">
      <c r="A37" s="193"/>
      <c r="B37" s="204"/>
      <c r="C37" s="204"/>
      <c r="D37" s="205"/>
      <c r="E37" s="205"/>
      <c r="F37" s="194"/>
      <c r="G37" s="194"/>
      <c r="H37" s="206"/>
      <c r="I37" s="206"/>
      <c r="J37" s="196"/>
      <c r="K37" s="196"/>
      <c r="L37" s="196"/>
      <c r="M37" s="197"/>
      <c r="N37" s="187"/>
      <c r="O37" s="187"/>
      <c r="P37" s="156"/>
      <c r="Q37" s="157"/>
      <c r="R37" s="157"/>
      <c r="S37" s="157"/>
      <c r="T37" s="157"/>
      <c r="U37" s="157"/>
      <c r="V37" s="157"/>
    </row>
    <row r="38" spans="1:22" s="158" customFormat="1" ht="30" customHeight="1">
      <c r="A38" s="193"/>
      <c r="B38" s="204"/>
      <c r="C38" s="204"/>
      <c r="D38" s="205"/>
      <c r="E38" s="205"/>
      <c r="F38" s="194"/>
      <c r="G38" s="194"/>
      <c r="H38" s="206"/>
      <c r="I38" s="206"/>
      <c r="J38" s="196"/>
      <c r="K38" s="196"/>
      <c r="L38" s="196"/>
      <c r="M38" s="197"/>
      <c r="N38" s="187"/>
      <c r="O38" s="187"/>
      <c r="P38" s="156"/>
      <c r="Q38" s="157"/>
      <c r="R38" s="157"/>
      <c r="S38" s="157"/>
      <c r="T38" s="157"/>
      <c r="U38" s="157"/>
      <c r="V38" s="157"/>
    </row>
    <row r="39" spans="1:22" s="158" customFormat="1" ht="30" customHeight="1">
      <c r="A39" s="193"/>
      <c r="B39" s="204"/>
      <c r="C39" s="204"/>
      <c r="D39" s="205"/>
      <c r="E39" s="205"/>
      <c r="F39" s="194"/>
      <c r="G39" s="194"/>
      <c r="H39" s="206"/>
      <c r="I39" s="206"/>
      <c r="J39" s="196"/>
      <c r="K39" s="196"/>
      <c r="L39" s="196"/>
      <c r="M39" s="197"/>
      <c r="N39" s="187"/>
      <c r="O39" s="187"/>
      <c r="P39" s="156"/>
      <c r="Q39" s="157"/>
      <c r="R39" s="157"/>
      <c r="S39" s="157"/>
      <c r="T39" s="157"/>
      <c r="U39" s="157"/>
      <c r="V39" s="157"/>
    </row>
    <row r="40" spans="1:22" s="158" customFormat="1" ht="30" customHeight="1">
      <c r="A40" s="193"/>
      <c r="B40" s="204"/>
      <c r="C40" s="204"/>
      <c r="D40" s="205"/>
      <c r="E40" s="205"/>
      <c r="F40" s="194"/>
      <c r="G40" s="194"/>
      <c r="H40" s="206"/>
      <c r="I40" s="206"/>
      <c r="J40" s="196"/>
      <c r="K40" s="196"/>
      <c r="L40" s="196"/>
      <c r="M40" s="197"/>
      <c r="N40" s="187"/>
      <c r="O40" s="187"/>
      <c r="P40" s="156"/>
      <c r="Q40" s="157"/>
      <c r="R40" s="157"/>
      <c r="S40" s="157"/>
      <c r="T40" s="157"/>
      <c r="U40" s="157"/>
      <c r="V40" s="157"/>
    </row>
    <row r="41" spans="1:22" s="158" customFormat="1" ht="30" customHeight="1">
      <c r="A41" s="193"/>
      <c r="B41" s="207"/>
      <c r="C41" s="207"/>
      <c r="D41" s="205"/>
      <c r="E41" s="205"/>
      <c r="F41" s="194"/>
      <c r="G41" s="194"/>
      <c r="H41" s="208"/>
      <c r="I41" s="206"/>
      <c r="J41" s="196"/>
      <c r="K41" s="196"/>
      <c r="L41" s="196"/>
      <c r="M41" s="197"/>
      <c r="N41" s="187"/>
      <c r="O41" s="187"/>
      <c r="P41" s="156"/>
      <c r="Q41" s="157"/>
      <c r="R41" s="157"/>
      <c r="S41" s="157"/>
      <c r="T41" s="157"/>
      <c r="U41" s="157"/>
      <c r="V41" s="157"/>
    </row>
    <row r="42" spans="1:22" s="158" customFormat="1" ht="30" customHeight="1">
      <c r="A42" s="193"/>
      <c r="B42" s="204"/>
      <c r="C42" s="204"/>
      <c r="D42" s="205"/>
      <c r="E42" s="205"/>
      <c r="F42" s="194"/>
      <c r="G42" s="194"/>
      <c r="H42" s="206"/>
      <c r="I42" s="206"/>
      <c r="J42" s="196"/>
      <c r="K42" s="196"/>
      <c r="L42" s="196"/>
      <c r="M42" s="197"/>
      <c r="N42" s="187"/>
      <c r="O42" s="187"/>
      <c r="P42" s="156"/>
      <c r="Q42" s="157"/>
      <c r="R42" s="157"/>
      <c r="S42" s="157"/>
      <c r="T42" s="157"/>
      <c r="U42" s="157"/>
      <c r="V42" s="157"/>
    </row>
    <row r="43" spans="1:22" s="158" customFormat="1" ht="30" customHeight="1">
      <c r="A43" s="306" t="s">
        <v>109</v>
      </c>
      <c r="B43" s="307"/>
      <c r="C43" s="307"/>
      <c r="D43" s="308"/>
      <c r="E43" s="308">
        <f>SUBTOTAL(9,E24:G42)</f>
        <v>0</v>
      </c>
      <c r="F43" s="309"/>
      <c r="G43" s="309"/>
      <c r="H43" s="309"/>
      <c r="I43" s="309"/>
      <c r="J43" s="309"/>
      <c r="K43" s="309"/>
      <c r="L43" s="309"/>
      <c r="M43" s="310"/>
      <c r="N43" s="190"/>
      <c r="O43" s="190"/>
      <c r="P43" s="156" t="str">
        <f>CONCATENATE(C43,H43)</f>
        <v/>
      </c>
      <c r="Q43" s="157"/>
      <c r="R43" s="157"/>
      <c r="S43" s="157"/>
      <c r="T43" s="157"/>
      <c r="U43" s="157"/>
      <c r="V43" s="157"/>
    </row>
    <row r="44" spans="1:22" s="158" customFormat="1" ht="30" customHeight="1">
      <c r="A44" s="315" t="s">
        <v>102</v>
      </c>
      <c r="B44" s="210"/>
      <c r="C44" s="210"/>
      <c r="D44" s="211"/>
      <c r="E44" s="211">
        <f>SUBTOTAL(9,E3:G43)</f>
        <v>0</v>
      </c>
      <c r="F44" s="212"/>
      <c r="G44" s="212"/>
      <c r="H44" s="212"/>
      <c r="I44" s="212"/>
      <c r="J44" s="212"/>
      <c r="K44" s="212"/>
      <c r="L44" s="212"/>
      <c r="M44" s="213"/>
      <c r="N44" s="190"/>
      <c r="O44" s="190"/>
      <c r="P44" s="156" t="str">
        <f t="shared" ref="P44:P107" si="2">CONCATENATE(C44,H44)</f>
        <v/>
      </c>
      <c r="Q44" s="157"/>
      <c r="R44" s="157"/>
      <c r="S44" s="157"/>
      <c r="T44" s="157"/>
      <c r="U44" s="157"/>
      <c r="V44" s="157"/>
    </row>
    <row r="45" spans="1:22" ht="32.1" customHeight="1">
      <c r="A45" s="110"/>
      <c r="B45" s="91"/>
      <c r="C45" s="149"/>
      <c r="D45" s="153"/>
      <c r="E45" s="153"/>
      <c r="F45" s="90"/>
      <c r="G45" s="90"/>
      <c r="H45" s="90"/>
      <c r="I45" s="90"/>
      <c r="J45" s="90"/>
      <c r="K45" s="90"/>
      <c r="L45" s="90"/>
      <c r="M45" s="149"/>
      <c r="N45" s="192"/>
      <c r="O45" s="192"/>
      <c r="P45" s="111" t="str">
        <f t="shared" si="2"/>
        <v/>
      </c>
      <c r="Q45" s="112"/>
      <c r="R45" s="112"/>
      <c r="S45" s="112"/>
      <c r="T45" s="112"/>
      <c r="U45" s="112"/>
      <c r="V45" s="112"/>
    </row>
    <row r="46" spans="1:22" ht="32.1" customHeight="1">
      <c r="A46" s="110"/>
      <c r="B46" s="91"/>
      <c r="C46" s="149"/>
      <c r="D46" s="153"/>
      <c r="E46" s="153"/>
      <c r="F46" s="90"/>
      <c r="G46" s="90"/>
      <c r="H46" s="90"/>
      <c r="I46" s="90"/>
      <c r="J46" s="90"/>
      <c r="K46" s="90"/>
      <c r="L46" s="90"/>
      <c r="M46" s="149"/>
      <c r="N46" s="192"/>
      <c r="O46" s="192"/>
      <c r="P46" s="111" t="str">
        <f t="shared" si="2"/>
        <v/>
      </c>
      <c r="Q46" s="112"/>
      <c r="R46" s="112"/>
      <c r="S46" s="112"/>
      <c r="T46" s="112"/>
      <c r="U46" s="112"/>
      <c r="V46" s="114"/>
    </row>
    <row r="47" spans="1:22" ht="32.1" customHeight="1">
      <c r="A47" s="110"/>
      <c r="B47" s="91"/>
      <c r="C47" s="149"/>
      <c r="D47" s="153"/>
      <c r="E47" s="153"/>
      <c r="F47" s="90"/>
      <c r="G47" s="90"/>
      <c r="H47" s="90"/>
      <c r="I47" s="90"/>
      <c r="J47" s="90"/>
      <c r="K47" s="90"/>
      <c r="L47" s="90"/>
      <c r="M47" s="149"/>
      <c r="N47" s="192"/>
      <c r="O47" s="192"/>
      <c r="P47" s="111" t="str">
        <f t="shared" si="2"/>
        <v/>
      </c>
      <c r="Q47" s="112"/>
      <c r="R47" s="112"/>
      <c r="S47" s="112"/>
      <c r="T47" s="112"/>
      <c r="U47" s="112"/>
      <c r="V47" s="114"/>
    </row>
    <row r="48" spans="1:22" ht="32.1" customHeight="1">
      <c r="A48" s="110"/>
      <c r="B48" s="91"/>
      <c r="C48" s="149"/>
      <c r="D48" s="153"/>
      <c r="E48" s="153"/>
      <c r="F48" s="90"/>
      <c r="G48" s="90"/>
      <c r="H48" s="90"/>
      <c r="I48" s="90"/>
      <c r="J48" s="90"/>
      <c r="K48" s="90"/>
      <c r="L48" s="90"/>
      <c r="M48" s="149"/>
      <c r="N48" s="192"/>
      <c r="O48" s="192"/>
      <c r="P48" s="111" t="str">
        <f t="shared" si="2"/>
        <v/>
      </c>
      <c r="Q48" s="112"/>
      <c r="R48" s="112"/>
      <c r="S48" s="112"/>
      <c r="T48" s="112"/>
      <c r="U48" s="112"/>
      <c r="V48" s="114"/>
    </row>
    <row r="49" spans="1:25" ht="32.1" customHeight="1">
      <c r="A49" s="110"/>
      <c r="B49" s="91"/>
      <c r="C49" s="91"/>
      <c r="D49" s="153"/>
      <c r="E49" s="153"/>
      <c r="F49" s="90"/>
      <c r="G49" s="90"/>
      <c r="H49" s="90"/>
      <c r="I49" s="90"/>
      <c r="J49" s="90"/>
      <c r="K49" s="90"/>
      <c r="L49" s="90"/>
      <c r="M49" s="149"/>
      <c r="N49" s="192"/>
      <c r="O49" s="192"/>
      <c r="P49" s="111" t="str">
        <f t="shared" si="2"/>
        <v/>
      </c>
      <c r="Q49" s="112"/>
      <c r="R49" s="112"/>
      <c r="S49" s="112"/>
      <c r="T49" s="112"/>
      <c r="U49" s="112"/>
      <c r="V49" s="114"/>
    </row>
    <row r="50" spans="1:25" ht="32.1" customHeight="1">
      <c r="A50" s="110"/>
      <c r="B50" s="91"/>
      <c r="C50" s="91"/>
      <c r="D50" s="153"/>
      <c r="E50" s="153"/>
      <c r="F50" s="90"/>
      <c r="G50" s="90"/>
      <c r="H50" s="90"/>
      <c r="I50" s="90"/>
      <c r="J50" s="90"/>
      <c r="K50" s="90"/>
      <c r="L50" s="90"/>
      <c r="M50" s="149"/>
      <c r="N50" s="192"/>
      <c r="O50" s="192"/>
      <c r="P50" s="111" t="str">
        <f t="shared" si="2"/>
        <v/>
      </c>
      <c r="Q50" s="112"/>
      <c r="R50" s="112"/>
      <c r="S50" s="112"/>
      <c r="T50" s="112"/>
      <c r="U50" s="112"/>
      <c r="V50" s="120"/>
      <c r="W50" s="112"/>
      <c r="X50" s="112"/>
      <c r="Y50" s="112"/>
    </row>
    <row r="51" spans="1:25" ht="32.1" customHeight="1">
      <c r="D51" s="155"/>
      <c r="E51" s="154"/>
      <c r="M51" s="110"/>
      <c r="N51" s="151"/>
      <c r="O51" s="151"/>
      <c r="P51" s="111" t="str">
        <f t="shared" si="2"/>
        <v/>
      </c>
      <c r="Q51" s="112"/>
      <c r="R51" s="112"/>
      <c r="S51" s="112"/>
      <c r="T51" s="112"/>
      <c r="U51" s="112"/>
      <c r="V51" s="120"/>
      <c r="W51" s="112"/>
      <c r="X51" s="112"/>
      <c r="Y51" s="112"/>
    </row>
    <row r="52" spans="1:25" ht="32.1" customHeight="1">
      <c r="D52" s="155"/>
      <c r="E52" s="154"/>
      <c r="M52" s="90"/>
      <c r="N52" s="150"/>
      <c r="O52" s="150"/>
      <c r="P52" s="111" t="str">
        <f t="shared" si="2"/>
        <v/>
      </c>
      <c r="Q52" s="112"/>
      <c r="R52" s="112"/>
      <c r="S52" s="112"/>
      <c r="T52" s="112"/>
      <c r="U52" s="112"/>
      <c r="V52" s="112"/>
    </row>
    <row r="53" spans="1:25" ht="32.1" customHeight="1">
      <c r="D53" s="155"/>
      <c r="E53" s="154"/>
      <c r="M53" s="90"/>
      <c r="N53" s="150"/>
      <c r="O53" s="150"/>
      <c r="P53" s="111" t="str">
        <f t="shared" si="2"/>
        <v/>
      </c>
      <c r="Q53" s="112"/>
      <c r="R53" s="112"/>
      <c r="S53" s="112"/>
      <c r="T53" s="112"/>
      <c r="U53" s="112"/>
      <c r="V53" s="112"/>
    </row>
    <row r="54" spans="1:25" ht="32.1" customHeight="1">
      <c r="D54" s="155"/>
      <c r="E54" s="154"/>
      <c r="M54" s="90"/>
      <c r="N54" s="150"/>
      <c r="O54" s="150"/>
      <c r="P54" s="111" t="str">
        <f t="shared" si="2"/>
        <v/>
      </c>
      <c r="Q54" s="112"/>
      <c r="R54" s="112"/>
      <c r="S54" s="112"/>
      <c r="T54" s="112"/>
      <c r="U54" s="112"/>
      <c r="V54" s="112"/>
    </row>
    <row r="55" spans="1:25" ht="32.1" customHeight="1">
      <c r="D55" s="155"/>
      <c r="E55" s="154"/>
      <c r="M55" s="90"/>
      <c r="N55" s="150"/>
      <c r="O55" s="150"/>
      <c r="P55" s="111" t="str">
        <f t="shared" si="2"/>
        <v/>
      </c>
      <c r="Q55" s="112"/>
      <c r="R55" s="112"/>
      <c r="S55" s="112"/>
      <c r="T55" s="112"/>
      <c r="U55" s="112"/>
      <c r="V55" s="112"/>
    </row>
    <row r="56" spans="1:25" ht="32.1" customHeight="1">
      <c r="D56" s="155"/>
      <c r="E56" s="154"/>
      <c r="M56" s="90"/>
      <c r="N56" s="150"/>
      <c r="O56" s="150"/>
      <c r="P56" s="111" t="str">
        <f t="shared" si="2"/>
        <v/>
      </c>
      <c r="Q56" s="112"/>
      <c r="R56" s="112"/>
      <c r="S56" s="112"/>
      <c r="T56" s="112"/>
      <c r="U56" s="112"/>
      <c r="V56" s="112"/>
    </row>
    <row r="57" spans="1:25" ht="32.1" customHeight="1">
      <c r="D57" s="155"/>
      <c r="E57" s="154"/>
      <c r="M57" s="90"/>
      <c r="N57" s="150"/>
      <c r="O57" s="150"/>
      <c r="P57" s="111" t="str">
        <f t="shared" si="2"/>
        <v/>
      </c>
      <c r="Q57" s="112"/>
      <c r="R57" s="112"/>
      <c r="S57" s="112"/>
      <c r="T57" s="112"/>
      <c r="U57" s="112"/>
      <c r="V57" s="112"/>
    </row>
    <row r="58" spans="1:25" ht="32.1" customHeight="1">
      <c r="D58" s="155"/>
      <c r="E58" s="154"/>
      <c r="M58" s="90"/>
      <c r="N58" s="150"/>
      <c r="O58" s="150"/>
      <c r="P58" s="111" t="str">
        <f t="shared" si="2"/>
        <v/>
      </c>
      <c r="Q58" s="112"/>
      <c r="R58" s="112"/>
      <c r="S58" s="112"/>
      <c r="T58" s="112"/>
      <c r="U58" s="112"/>
      <c r="V58" s="112"/>
    </row>
    <row r="59" spans="1:25" ht="32.1" customHeight="1">
      <c r="D59" s="155"/>
      <c r="E59" s="154"/>
      <c r="M59" s="90"/>
      <c r="N59" s="150"/>
      <c r="O59" s="150"/>
      <c r="P59" s="111" t="str">
        <f t="shared" si="2"/>
        <v/>
      </c>
      <c r="Q59" s="112"/>
      <c r="R59" s="112"/>
      <c r="S59" s="112"/>
      <c r="T59" s="112"/>
      <c r="U59" s="112"/>
      <c r="V59" s="112"/>
    </row>
    <row r="60" spans="1:25" ht="32.1" customHeight="1">
      <c r="D60" s="155"/>
      <c r="E60" s="154"/>
      <c r="M60" s="90"/>
      <c r="N60" s="150"/>
      <c r="O60" s="150"/>
      <c r="P60" s="111" t="str">
        <f t="shared" si="2"/>
        <v/>
      </c>
      <c r="Q60" s="112"/>
      <c r="R60" s="112"/>
      <c r="S60" s="112"/>
      <c r="T60" s="112"/>
      <c r="U60" s="112"/>
      <c r="V60" s="112"/>
    </row>
    <row r="61" spans="1:25" ht="32.1" customHeight="1">
      <c r="D61" s="155"/>
      <c r="E61" s="154"/>
      <c r="M61" s="90"/>
      <c r="N61" s="150"/>
      <c r="O61" s="150"/>
      <c r="P61" s="111" t="str">
        <f t="shared" si="2"/>
        <v/>
      </c>
      <c r="Q61" s="112"/>
      <c r="R61" s="112"/>
      <c r="S61" s="112"/>
      <c r="T61" s="112"/>
      <c r="U61" s="112"/>
      <c r="V61" s="112"/>
    </row>
    <row r="62" spans="1:25" ht="32.1" customHeight="1">
      <c r="D62" s="155"/>
      <c r="E62" s="154"/>
      <c r="M62" s="90"/>
      <c r="N62" s="150"/>
      <c r="O62" s="150"/>
      <c r="P62" s="111" t="str">
        <f t="shared" si="2"/>
        <v/>
      </c>
      <c r="Q62" s="112"/>
      <c r="R62" s="112"/>
      <c r="S62" s="112"/>
      <c r="T62" s="112"/>
      <c r="U62" s="112"/>
      <c r="V62" s="112"/>
    </row>
    <row r="63" spans="1:25" ht="32.1" customHeight="1">
      <c r="D63" s="155"/>
      <c r="E63" s="154"/>
      <c r="M63" s="90"/>
      <c r="N63" s="150"/>
      <c r="O63" s="150"/>
      <c r="P63" s="111" t="str">
        <f t="shared" si="2"/>
        <v/>
      </c>
      <c r="Q63" s="112"/>
      <c r="R63" s="112"/>
      <c r="S63" s="112"/>
      <c r="T63" s="112"/>
      <c r="U63" s="112"/>
      <c r="V63" s="112"/>
    </row>
    <row r="64" spans="1:25" ht="32.1" customHeight="1">
      <c r="D64" s="155"/>
      <c r="E64" s="154"/>
      <c r="M64" s="90"/>
      <c r="N64" s="150"/>
      <c r="O64" s="150"/>
      <c r="P64" s="111" t="str">
        <f t="shared" si="2"/>
        <v/>
      </c>
      <c r="Q64" s="112"/>
      <c r="R64" s="112"/>
      <c r="S64" s="112"/>
      <c r="T64" s="112"/>
      <c r="U64" s="112"/>
      <c r="V64" s="112"/>
    </row>
    <row r="65" spans="4:25" ht="32.1" customHeight="1">
      <c r="D65" s="155"/>
      <c r="E65" s="154"/>
      <c r="M65" s="90"/>
      <c r="N65" s="150"/>
      <c r="O65" s="150"/>
      <c r="P65" s="111" t="str">
        <f t="shared" si="2"/>
        <v/>
      </c>
      <c r="Q65" s="112"/>
      <c r="R65" s="112"/>
      <c r="S65" s="112"/>
      <c r="T65" s="112"/>
      <c r="U65" s="112"/>
      <c r="V65" s="112"/>
    </row>
    <row r="66" spans="4:25" ht="32.1" customHeight="1">
      <c r="D66" s="155"/>
      <c r="E66" s="154"/>
      <c r="M66" s="90"/>
      <c r="N66" s="150"/>
      <c r="O66" s="150"/>
      <c r="P66" s="111" t="str">
        <f t="shared" si="2"/>
        <v/>
      </c>
      <c r="Q66" s="112"/>
      <c r="R66" s="112"/>
      <c r="S66" s="112"/>
      <c r="T66" s="112"/>
      <c r="U66" s="112"/>
      <c r="V66" s="112"/>
    </row>
    <row r="67" spans="4:25" ht="32.1" customHeight="1">
      <c r="D67" s="155"/>
      <c r="E67" s="154"/>
      <c r="M67" s="90"/>
      <c r="N67" s="150"/>
      <c r="O67" s="150"/>
      <c r="P67" s="111" t="str">
        <f t="shared" si="2"/>
        <v/>
      </c>
      <c r="Q67" s="112"/>
      <c r="R67" s="112"/>
      <c r="S67" s="112"/>
      <c r="T67" s="112"/>
      <c r="U67" s="112"/>
      <c r="V67" s="114"/>
    </row>
    <row r="68" spans="4:25" ht="32.1" customHeight="1">
      <c r="D68" s="155"/>
      <c r="E68" s="154"/>
      <c r="M68" s="90"/>
      <c r="N68" s="150"/>
      <c r="O68" s="150"/>
      <c r="P68" s="111" t="str">
        <f t="shared" si="2"/>
        <v/>
      </c>
      <c r="Q68" s="112"/>
      <c r="R68" s="112"/>
      <c r="S68" s="112"/>
      <c r="T68" s="112"/>
      <c r="U68" s="112"/>
      <c r="V68" s="114"/>
    </row>
    <row r="69" spans="4:25" ht="32.1" customHeight="1">
      <c r="D69" s="155"/>
      <c r="E69" s="154"/>
      <c r="M69" s="90"/>
      <c r="N69" s="150"/>
      <c r="O69" s="150"/>
      <c r="P69" s="111" t="str">
        <f t="shared" si="2"/>
        <v/>
      </c>
      <c r="Q69" s="112"/>
      <c r="R69" s="112"/>
      <c r="S69" s="112"/>
      <c r="T69" s="112"/>
      <c r="U69" s="112"/>
      <c r="V69" s="114"/>
    </row>
    <row r="70" spans="4:25" ht="32.1" customHeight="1">
      <c r="D70" s="155"/>
      <c r="E70" s="154"/>
      <c r="M70" s="90"/>
      <c r="N70" s="150"/>
      <c r="O70" s="150"/>
      <c r="P70" s="111" t="str">
        <f t="shared" si="2"/>
        <v/>
      </c>
      <c r="Q70" s="112"/>
      <c r="R70" s="112"/>
      <c r="S70" s="112"/>
      <c r="T70" s="112"/>
      <c r="U70" s="112"/>
      <c r="V70" s="114"/>
    </row>
    <row r="71" spans="4:25" ht="32.1" customHeight="1">
      <c r="D71" s="155"/>
      <c r="E71" s="154"/>
      <c r="M71" s="90"/>
      <c r="N71" s="150"/>
      <c r="O71" s="150"/>
      <c r="P71" s="111" t="str">
        <f t="shared" si="2"/>
        <v/>
      </c>
      <c r="Q71" s="112"/>
      <c r="R71" s="112"/>
      <c r="S71" s="112"/>
      <c r="T71" s="112"/>
      <c r="U71" s="112"/>
      <c r="V71" s="120"/>
      <c r="W71" s="112"/>
      <c r="X71" s="112"/>
      <c r="Y71" s="112"/>
    </row>
    <row r="72" spans="4:25" ht="32.1" customHeight="1">
      <c r="D72" s="155"/>
      <c r="E72" s="154"/>
      <c r="M72" s="110"/>
      <c r="N72" s="151"/>
      <c r="O72" s="151"/>
      <c r="P72" s="111" t="str">
        <f t="shared" si="2"/>
        <v/>
      </c>
      <c r="Q72" s="112"/>
      <c r="R72" s="112"/>
      <c r="S72" s="112"/>
      <c r="T72" s="112"/>
      <c r="U72" s="112"/>
      <c r="V72" s="120"/>
      <c r="W72" s="112"/>
      <c r="X72" s="112"/>
      <c r="Y72" s="112"/>
    </row>
    <row r="73" spans="4:25" ht="32.1" customHeight="1">
      <c r="D73" s="155"/>
      <c r="E73" s="154"/>
      <c r="P73" s="111" t="str">
        <f t="shared" si="2"/>
        <v/>
      </c>
      <c r="Q73" s="112"/>
      <c r="R73" s="112"/>
      <c r="S73" s="112"/>
      <c r="T73" s="112"/>
      <c r="U73" s="112"/>
      <c r="V73" s="112"/>
    </row>
    <row r="74" spans="4:25" ht="32.1" customHeight="1">
      <c r="D74" s="155"/>
      <c r="E74" s="154"/>
      <c r="P74" s="111" t="str">
        <f t="shared" si="2"/>
        <v/>
      </c>
      <c r="Q74" s="112"/>
      <c r="R74" s="112"/>
      <c r="S74" s="112"/>
      <c r="T74" s="112"/>
      <c r="U74" s="112"/>
      <c r="V74" s="112"/>
    </row>
    <row r="75" spans="4:25" ht="32.1" customHeight="1">
      <c r="D75" s="155"/>
      <c r="E75" s="154"/>
      <c r="P75" s="111" t="str">
        <f t="shared" si="2"/>
        <v/>
      </c>
      <c r="Q75" s="112"/>
      <c r="R75" s="112"/>
      <c r="S75" s="112"/>
      <c r="T75" s="112"/>
      <c r="U75" s="112"/>
      <c r="V75" s="112"/>
    </row>
    <row r="76" spans="4:25" ht="32.1" customHeight="1">
      <c r="D76" s="155"/>
      <c r="E76" s="154"/>
      <c r="P76" s="111" t="str">
        <f t="shared" si="2"/>
        <v/>
      </c>
      <c r="Q76" s="112"/>
      <c r="R76" s="112"/>
      <c r="S76" s="112"/>
      <c r="T76" s="112"/>
      <c r="U76" s="112"/>
      <c r="V76" s="112"/>
    </row>
    <row r="77" spans="4:25" ht="32.1" customHeight="1">
      <c r="D77" s="155"/>
      <c r="E77" s="154"/>
      <c r="P77" s="111" t="str">
        <f t="shared" si="2"/>
        <v/>
      </c>
      <c r="Q77" s="112"/>
      <c r="R77" s="112"/>
      <c r="S77" s="112"/>
      <c r="T77" s="112"/>
      <c r="U77" s="112"/>
      <c r="V77" s="112"/>
    </row>
    <row r="78" spans="4:25" ht="32.1" customHeight="1">
      <c r="D78" s="155"/>
      <c r="E78" s="154"/>
      <c r="P78" s="111" t="str">
        <f t="shared" si="2"/>
        <v/>
      </c>
      <c r="Q78" s="112"/>
      <c r="R78" s="112"/>
      <c r="S78" s="112"/>
      <c r="T78" s="112"/>
      <c r="U78" s="112"/>
      <c r="V78" s="112"/>
    </row>
    <row r="79" spans="4:25" ht="32.1" customHeight="1">
      <c r="D79" s="155"/>
      <c r="E79" s="154"/>
      <c r="P79" s="111" t="str">
        <f t="shared" si="2"/>
        <v/>
      </c>
      <c r="Q79" s="112"/>
      <c r="R79" s="112"/>
      <c r="S79" s="112"/>
      <c r="T79" s="112"/>
      <c r="U79" s="112"/>
      <c r="V79" s="112"/>
    </row>
    <row r="80" spans="4:25" ht="32.1" customHeight="1">
      <c r="D80" s="155"/>
      <c r="E80" s="154"/>
      <c r="P80" s="111" t="str">
        <f t="shared" si="2"/>
        <v/>
      </c>
      <c r="Q80" s="112"/>
      <c r="R80" s="112"/>
      <c r="S80" s="112"/>
      <c r="T80" s="112"/>
      <c r="U80" s="112"/>
      <c r="V80" s="112"/>
    </row>
    <row r="81" spans="4:25" ht="32.1" customHeight="1">
      <c r="D81" s="155"/>
      <c r="E81" s="154"/>
      <c r="P81" s="111" t="str">
        <f t="shared" si="2"/>
        <v/>
      </c>
      <c r="Q81" s="112"/>
      <c r="R81" s="112"/>
      <c r="S81" s="112"/>
      <c r="T81" s="112"/>
      <c r="U81" s="112"/>
      <c r="V81" s="112"/>
    </row>
    <row r="82" spans="4:25" ht="32.1" customHeight="1">
      <c r="D82" s="155"/>
      <c r="E82" s="154"/>
      <c r="P82" s="111" t="str">
        <f t="shared" si="2"/>
        <v/>
      </c>
      <c r="Q82" s="112"/>
      <c r="R82" s="112"/>
      <c r="S82" s="112"/>
      <c r="T82" s="112"/>
      <c r="U82" s="112"/>
      <c r="V82" s="112"/>
    </row>
    <row r="83" spans="4:25" ht="32.1" customHeight="1">
      <c r="D83" s="155"/>
      <c r="E83" s="154"/>
      <c r="P83" s="111" t="str">
        <f t="shared" si="2"/>
        <v/>
      </c>
      <c r="Q83" s="112"/>
      <c r="R83" s="112"/>
      <c r="S83" s="112"/>
      <c r="T83" s="112"/>
      <c r="U83" s="112"/>
      <c r="V83" s="112"/>
    </row>
    <row r="84" spans="4:25" ht="32.1" customHeight="1">
      <c r="D84" s="155"/>
      <c r="E84" s="154"/>
      <c r="P84" s="111" t="str">
        <f t="shared" si="2"/>
        <v/>
      </c>
      <c r="Q84" s="112"/>
      <c r="R84" s="112"/>
      <c r="S84" s="112"/>
      <c r="T84" s="112"/>
      <c r="U84" s="112"/>
      <c r="V84" s="112"/>
    </row>
    <row r="85" spans="4:25" ht="32.1" customHeight="1">
      <c r="D85" s="155"/>
      <c r="E85" s="154"/>
      <c r="P85" s="111" t="str">
        <f t="shared" si="2"/>
        <v/>
      </c>
      <c r="Q85" s="112"/>
      <c r="R85" s="112"/>
      <c r="S85" s="112"/>
      <c r="T85" s="112"/>
      <c r="U85" s="112"/>
      <c r="V85" s="112"/>
    </row>
    <row r="86" spans="4:25" ht="32.1" customHeight="1">
      <c r="D86" s="155"/>
      <c r="E86" s="154"/>
      <c r="P86" s="111" t="str">
        <f t="shared" si="2"/>
        <v/>
      </c>
      <c r="Q86" s="112"/>
      <c r="R86" s="112"/>
      <c r="S86" s="112"/>
      <c r="T86" s="112"/>
      <c r="U86" s="112"/>
      <c r="V86" s="112"/>
    </row>
    <row r="87" spans="4:25" ht="32.1" customHeight="1">
      <c r="D87" s="155"/>
      <c r="E87" s="154"/>
      <c r="P87" s="111" t="str">
        <f t="shared" si="2"/>
        <v/>
      </c>
      <c r="Q87" s="112"/>
      <c r="R87" s="112"/>
      <c r="S87" s="112"/>
      <c r="T87" s="112"/>
      <c r="U87" s="112"/>
      <c r="V87" s="112"/>
    </row>
    <row r="88" spans="4:25" ht="32.1" customHeight="1">
      <c r="D88" s="155"/>
      <c r="E88" s="154"/>
      <c r="P88" s="111" t="str">
        <f t="shared" si="2"/>
        <v/>
      </c>
      <c r="Q88" s="112"/>
      <c r="R88" s="112"/>
      <c r="S88" s="112"/>
      <c r="T88" s="112"/>
      <c r="U88" s="112"/>
      <c r="V88" s="114"/>
    </row>
    <row r="89" spans="4:25" ht="32.1" customHeight="1">
      <c r="D89" s="155"/>
      <c r="E89" s="154"/>
      <c r="P89" s="111" t="str">
        <f t="shared" si="2"/>
        <v/>
      </c>
      <c r="Q89" s="112"/>
      <c r="R89" s="112"/>
      <c r="S89" s="112"/>
      <c r="T89" s="112"/>
      <c r="U89" s="112"/>
      <c r="V89" s="114"/>
    </row>
    <row r="90" spans="4:25" ht="32.1" customHeight="1">
      <c r="D90" s="155"/>
      <c r="E90" s="154"/>
      <c r="P90" s="111" t="str">
        <f t="shared" si="2"/>
        <v/>
      </c>
      <c r="Q90" s="112"/>
      <c r="R90" s="112"/>
      <c r="S90" s="112"/>
      <c r="T90" s="112"/>
      <c r="U90" s="112"/>
      <c r="V90" s="114"/>
    </row>
    <row r="91" spans="4:25" ht="32.1" customHeight="1">
      <c r="D91" s="155"/>
      <c r="E91" s="154"/>
      <c r="P91" s="111" t="str">
        <f t="shared" si="2"/>
        <v/>
      </c>
      <c r="Q91" s="112"/>
      <c r="R91" s="112"/>
      <c r="S91" s="112"/>
      <c r="T91" s="112"/>
      <c r="U91" s="112"/>
      <c r="V91" s="114"/>
    </row>
    <row r="92" spans="4:25" ht="32.1" customHeight="1">
      <c r="D92" s="155"/>
      <c r="E92" s="154"/>
      <c r="P92" s="111" t="str">
        <f t="shared" si="2"/>
        <v/>
      </c>
      <c r="Q92" s="112"/>
      <c r="R92" s="112"/>
      <c r="S92" s="112"/>
      <c r="T92" s="112"/>
      <c r="U92" s="112"/>
      <c r="V92" s="120"/>
      <c r="W92" s="112"/>
      <c r="X92" s="112"/>
      <c r="Y92" s="112"/>
    </row>
    <row r="93" spans="4:25" ht="32.1" customHeight="1">
      <c r="D93" s="155"/>
      <c r="E93" s="154"/>
      <c r="P93" s="111" t="str">
        <f t="shared" si="2"/>
        <v/>
      </c>
      <c r="Q93" s="112"/>
      <c r="R93" s="112"/>
      <c r="S93" s="112"/>
      <c r="T93" s="112"/>
      <c r="U93" s="112"/>
      <c r="V93" s="120"/>
      <c r="W93" s="112"/>
      <c r="X93" s="112"/>
      <c r="Y93" s="112"/>
    </row>
    <row r="94" spans="4:25" ht="32.1" customHeight="1">
      <c r="D94" s="155"/>
      <c r="E94" s="154"/>
      <c r="P94" s="111" t="str">
        <f t="shared" si="2"/>
        <v/>
      </c>
      <c r="Q94" s="112"/>
      <c r="R94" s="112"/>
      <c r="S94" s="112"/>
      <c r="T94" s="112"/>
      <c r="U94" s="112"/>
      <c r="V94" s="112"/>
    </row>
    <row r="95" spans="4:25" ht="32.1" customHeight="1">
      <c r="D95" s="155"/>
      <c r="E95" s="154"/>
      <c r="P95" s="111" t="str">
        <f t="shared" si="2"/>
        <v/>
      </c>
      <c r="Q95" s="112"/>
      <c r="R95" s="112"/>
      <c r="S95" s="112"/>
      <c r="T95" s="112"/>
      <c r="U95" s="112"/>
      <c r="V95" s="112"/>
    </row>
    <row r="96" spans="4:25" ht="32.1" customHeight="1">
      <c r="D96" s="155"/>
      <c r="E96" s="154"/>
      <c r="P96" s="111" t="str">
        <f t="shared" si="2"/>
        <v/>
      </c>
      <c r="Q96" s="112"/>
      <c r="R96" s="112"/>
      <c r="S96" s="112"/>
      <c r="T96" s="112"/>
      <c r="U96" s="112"/>
      <c r="V96" s="112"/>
    </row>
    <row r="97" spans="4:22" ht="32.1" customHeight="1">
      <c r="D97" s="155"/>
      <c r="E97" s="154"/>
      <c r="P97" s="111" t="str">
        <f t="shared" si="2"/>
        <v/>
      </c>
      <c r="Q97" s="112"/>
      <c r="R97" s="112"/>
      <c r="S97" s="112"/>
      <c r="T97" s="112"/>
      <c r="U97" s="112"/>
      <c r="V97" s="112"/>
    </row>
    <row r="98" spans="4:22" ht="32.1" customHeight="1">
      <c r="D98" s="155"/>
      <c r="E98" s="154"/>
      <c r="P98" s="111" t="str">
        <f t="shared" si="2"/>
        <v/>
      </c>
      <c r="Q98" s="112"/>
      <c r="R98" s="112"/>
      <c r="S98" s="112"/>
      <c r="T98" s="112"/>
      <c r="U98" s="112"/>
      <c r="V98" s="112"/>
    </row>
    <row r="99" spans="4:22" ht="32.1" customHeight="1">
      <c r="D99" s="155"/>
      <c r="E99" s="154"/>
      <c r="P99" s="111" t="str">
        <f t="shared" si="2"/>
        <v/>
      </c>
      <c r="Q99" s="112"/>
      <c r="R99" s="112"/>
      <c r="S99" s="112"/>
      <c r="T99" s="112"/>
      <c r="U99" s="112"/>
      <c r="V99" s="112"/>
    </row>
    <row r="100" spans="4:22" ht="32.1" customHeight="1">
      <c r="D100" s="155"/>
      <c r="E100" s="154"/>
      <c r="P100" s="111" t="str">
        <f t="shared" si="2"/>
        <v/>
      </c>
      <c r="Q100" s="112"/>
      <c r="R100" s="112"/>
      <c r="S100" s="112"/>
      <c r="T100" s="112"/>
      <c r="U100" s="112"/>
      <c r="V100" s="112"/>
    </row>
    <row r="101" spans="4:22" ht="32.1" customHeight="1">
      <c r="D101" s="155"/>
      <c r="E101" s="154"/>
      <c r="P101" s="111" t="str">
        <f t="shared" si="2"/>
        <v/>
      </c>
      <c r="Q101" s="112"/>
      <c r="R101" s="112"/>
      <c r="S101" s="112"/>
      <c r="T101" s="112"/>
      <c r="U101" s="112"/>
      <c r="V101" s="112"/>
    </row>
    <row r="102" spans="4:22" ht="32.1" customHeight="1">
      <c r="D102" s="155"/>
      <c r="E102" s="154"/>
      <c r="P102" s="111" t="str">
        <f t="shared" si="2"/>
        <v/>
      </c>
      <c r="Q102" s="112"/>
      <c r="R102" s="112"/>
      <c r="S102" s="112"/>
      <c r="T102" s="112"/>
      <c r="U102" s="112"/>
      <c r="V102" s="112"/>
    </row>
    <row r="103" spans="4:22" ht="32.1" customHeight="1">
      <c r="D103" s="155"/>
      <c r="E103" s="154"/>
      <c r="P103" s="111" t="str">
        <f t="shared" si="2"/>
        <v/>
      </c>
      <c r="Q103" s="112"/>
      <c r="R103" s="112"/>
      <c r="S103" s="112"/>
      <c r="T103" s="112"/>
      <c r="U103" s="112"/>
      <c r="V103" s="112"/>
    </row>
    <row r="104" spans="4:22" ht="32.1" customHeight="1">
      <c r="D104" s="155"/>
      <c r="E104" s="154"/>
      <c r="P104" s="111" t="str">
        <f t="shared" si="2"/>
        <v/>
      </c>
      <c r="Q104" s="112"/>
      <c r="R104" s="112"/>
      <c r="S104" s="112"/>
      <c r="T104" s="112"/>
      <c r="U104" s="112"/>
      <c r="V104" s="112"/>
    </row>
    <row r="105" spans="4:22" ht="32.1" customHeight="1">
      <c r="D105" s="155"/>
      <c r="E105" s="154"/>
      <c r="P105" s="111" t="str">
        <f t="shared" si="2"/>
        <v/>
      </c>
      <c r="Q105" s="112"/>
      <c r="R105" s="112"/>
      <c r="S105" s="112"/>
      <c r="T105" s="112"/>
      <c r="U105" s="112"/>
      <c r="V105" s="112"/>
    </row>
    <row r="106" spans="4:22" ht="32.1" customHeight="1">
      <c r="D106" s="155"/>
      <c r="E106" s="154"/>
      <c r="P106" s="111" t="str">
        <f t="shared" si="2"/>
        <v/>
      </c>
      <c r="Q106" s="112"/>
      <c r="R106" s="112"/>
      <c r="S106" s="112"/>
      <c r="T106" s="112"/>
      <c r="U106" s="112"/>
      <c r="V106" s="112"/>
    </row>
    <row r="107" spans="4:22" ht="32.1" customHeight="1">
      <c r="D107" s="155"/>
      <c r="E107" s="154"/>
      <c r="P107" s="111" t="str">
        <f t="shared" si="2"/>
        <v/>
      </c>
      <c r="Q107" s="112"/>
      <c r="R107" s="112"/>
      <c r="S107" s="112"/>
      <c r="T107" s="112"/>
      <c r="U107" s="112"/>
      <c r="V107" s="112"/>
    </row>
    <row r="108" spans="4:22" ht="32.1" customHeight="1">
      <c r="D108" s="155"/>
      <c r="E108" s="154"/>
      <c r="P108" s="111" t="str">
        <f t="shared" ref="P108:P171" si="3">CONCATENATE(C108,H108)</f>
        <v/>
      </c>
      <c r="Q108" s="112"/>
      <c r="R108" s="112"/>
      <c r="S108" s="112"/>
      <c r="T108" s="112"/>
      <c r="U108" s="112"/>
      <c r="V108" s="112"/>
    </row>
    <row r="109" spans="4:22" ht="32.1" customHeight="1">
      <c r="D109" s="155"/>
      <c r="E109" s="154"/>
      <c r="P109" s="111" t="str">
        <f t="shared" si="3"/>
        <v/>
      </c>
      <c r="Q109" s="112"/>
      <c r="R109" s="112"/>
      <c r="S109" s="112"/>
      <c r="T109" s="112"/>
      <c r="U109" s="112"/>
      <c r="V109" s="114"/>
    </row>
    <row r="110" spans="4:22" ht="32.1" customHeight="1">
      <c r="D110" s="155"/>
      <c r="E110" s="154"/>
      <c r="P110" s="111" t="str">
        <f t="shared" si="3"/>
        <v/>
      </c>
      <c r="Q110" s="112"/>
      <c r="R110" s="112"/>
      <c r="S110" s="112"/>
      <c r="T110" s="112"/>
      <c r="U110" s="112"/>
      <c r="V110" s="114"/>
    </row>
    <row r="111" spans="4:22" ht="32.1" customHeight="1">
      <c r="D111" s="155"/>
      <c r="E111" s="154"/>
      <c r="P111" s="111" t="str">
        <f t="shared" si="3"/>
        <v/>
      </c>
      <c r="Q111" s="112"/>
      <c r="R111" s="112"/>
      <c r="S111" s="112"/>
      <c r="T111" s="112"/>
      <c r="U111" s="112"/>
      <c r="V111" s="114"/>
    </row>
    <row r="112" spans="4:22" ht="32.1" customHeight="1">
      <c r="D112" s="155"/>
      <c r="E112" s="154"/>
      <c r="P112" s="111" t="str">
        <f t="shared" si="3"/>
        <v/>
      </c>
      <c r="Q112" s="112"/>
      <c r="R112" s="112"/>
      <c r="S112" s="112"/>
      <c r="T112" s="112"/>
      <c r="U112" s="112"/>
      <c r="V112" s="114"/>
    </row>
    <row r="113" spans="4:25" ht="32.1" customHeight="1">
      <c r="D113" s="155"/>
      <c r="E113" s="154"/>
      <c r="P113" s="111" t="str">
        <f t="shared" si="3"/>
        <v/>
      </c>
      <c r="Q113" s="112"/>
      <c r="R113" s="112"/>
      <c r="S113" s="112"/>
      <c r="T113" s="112"/>
      <c r="U113" s="112"/>
      <c r="V113" s="120"/>
      <c r="W113" s="112"/>
      <c r="X113" s="112"/>
      <c r="Y113" s="112"/>
    </row>
    <row r="114" spans="4:25" ht="32.1" customHeight="1">
      <c r="D114" s="155"/>
      <c r="E114" s="154"/>
      <c r="P114" s="111" t="str">
        <f t="shared" si="3"/>
        <v/>
      </c>
      <c r="Q114" s="112"/>
      <c r="R114" s="112"/>
      <c r="S114" s="112"/>
      <c r="T114" s="112"/>
      <c r="U114" s="112"/>
      <c r="V114" s="120"/>
      <c r="W114" s="112"/>
      <c r="X114" s="112"/>
      <c r="Y114" s="112"/>
    </row>
    <row r="115" spans="4:25" ht="32.1" customHeight="1">
      <c r="D115" s="155"/>
      <c r="E115" s="154"/>
      <c r="P115" s="111" t="str">
        <f t="shared" si="3"/>
        <v/>
      </c>
      <c r="Q115" s="112"/>
      <c r="R115" s="112"/>
      <c r="S115" s="112"/>
      <c r="T115" s="112"/>
      <c r="U115" s="112"/>
      <c r="V115" s="112"/>
    </row>
    <row r="116" spans="4:25" ht="32.1" customHeight="1">
      <c r="D116" s="155"/>
      <c r="E116" s="154"/>
      <c r="P116" s="111" t="str">
        <f t="shared" si="3"/>
        <v/>
      </c>
      <c r="Q116" s="112"/>
      <c r="R116" s="112"/>
      <c r="S116" s="112"/>
      <c r="T116" s="112"/>
      <c r="U116" s="112"/>
      <c r="V116" s="112"/>
    </row>
    <row r="117" spans="4:25" ht="32.1" customHeight="1">
      <c r="D117" s="155"/>
      <c r="E117" s="154"/>
      <c r="P117" s="111" t="str">
        <f t="shared" si="3"/>
        <v/>
      </c>
      <c r="Q117" s="112"/>
      <c r="R117" s="112"/>
      <c r="S117" s="112"/>
      <c r="T117" s="112"/>
      <c r="U117" s="112"/>
      <c r="V117" s="112"/>
    </row>
    <row r="118" spans="4:25" ht="32.1" customHeight="1">
      <c r="D118" s="155"/>
      <c r="E118" s="154"/>
      <c r="P118" s="111" t="str">
        <f t="shared" si="3"/>
        <v/>
      </c>
      <c r="Q118" s="112"/>
      <c r="R118" s="112"/>
      <c r="S118" s="112"/>
      <c r="T118" s="112"/>
      <c r="U118" s="112"/>
      <c r="V118" s="112"/>
    </row>
    <row r="119" spans="4:25" ht="32.1" customHeight="1">
      <c r="D119" s="155"/>
      <c r="E119" s="154"/>
      <c r="P119" s="111" t="str">
        <f t="shared" si="3"/>
        <v/>
      </c>
      <c r="Q119" s="112"/>
      <c r="R119" s="112"/>
      <c r="S119" s="112"/>
      <c r="T119" s="112"/>
      <c r="U119" s="112"/>
      <c r="V119" s="112"/>
    </row>
    <row r="120" spans="4:25" ht="32.1" customHeight="1">
      <c r="D120" s="155"/>
      <c r="E120" s="154"/>
      <c r="P120" s="111" t="str">
        <f t="shared" si="3"/>
        <v/>
      </c>
      <c r="Q120" s="112"/>
      <c r="R120" s="112"/>
      <c r="S120" s="112"/>
      <c r="T120" s="112"/>
      <c r="U120" s="112"/>
      <c r="V120" s="112"/>
    </row>
    <row r="121" spans="4:25" ht="32.1" customHeight="1">
      <c r="D121" s="155"/>
      <c r="E121" s="154"/>
      <c r="P121" s="111" t="str">
        <f t="shared" si="3"/>
        <v/>
      </c>
      <c r="Q121" s="112"/>
      <c r="R121" s="112"/>
      <c r="S121" s="112"/>
      <c r="T121" s="112"/>
      <c r="U121" s="112"/>
      <c r="V121" s="112"/>
    </row>
    <row r="122" spans="4:25" ht="32.1" customHeight="1">
      <c r="D122" s="155"/>
      <c r="E122" s="154"/>
      <c r="P122" s="111" t="str">
        <f t="shared" si="3"/>
        <v/>
      </c>
      <c r="Q122" s="112"/>
      <c r="R122" s="112"/>
      <c r="S122" s="112"/>
      <c r="T122" s="112"/>
      <c r="U122" s="112"/>
      <c r="V122" s="112"/>
    </row>
    <row r="123" spans="4:25" ht="32.1" customHeight="1">
      <c r="D123" s="155"/>
      <c r="E123" s="154"/>
      <c r="P123" s="111" t="str">
        <f t="shared" si="3"/>
        <v/>
      </c>
      <c r="Q123" s="112"/>
      <c r="R123" s="112"/>
      <c r="S123" s="112"/>
      <c r="T123" s="112"/>
      <c r="U123" s="112"/>
      <c r="V123" s="112"/>
    </row>
    <row r="124" spans="4:25" ht="32.1" customHeight="1">
      <c r="D124" s="155"/>
      <c r="E124" s="154"/>
      <c r="P124" s="111" t="str">
        <f t="shared" si="3"/>
        <v/>
      </c>
      <c r="Q124" s="112"/>
      <c r="R124" s="112"/>
      <c r="S124" s="112"/>
      <c r="T124" s="112"/>
      <c r="U124" s="112"/>
      <c r="V124" s="112"/>
    </row>
    <row r="125" spans="4:25" ht="32.1" customHeight="1">
      <c r="D125" s="155"/>
      <c r="E125" s="154"/>
      <c r="P125" s="111" t="str">
        <f t="shared" si="3"/>
        <v/>
      </c>
      <c r="Q125" s="112"/>
      <c r="R125" s="112"/>
      <c r="S125" s="112"/>
      <c r="T125" s="112"/>
      <c r="U125" s="112"/>
      <c r="V125" s="112"/>
    </row>
    <row r="126" spans="4:25" ht="32.1" customHeight="1">
      <c r="D126" s="155"/>
      <c r="E126" s="154"/>
      <c r="P126" s="111" t="str">
        <f t="shared" si="3"/>
        <v/>
      </c>
      <c r="Q126" s="112"/>
      <c r="R126" s="112"/>
      <c r="S126" s="112"/>
      <c r="T126" s="112"/>
      <c r="U126" s="112"/>
      <c r="V126" s="112"/>
    </row>
    <row r="127" spans="4:25" ht="32.1" customHeight="1">
      <c r="D127" s="155"/>
      <c r="E127" s="154"/>
      <c r="P127" s="111" t="str">
        <f t="shared" si="3"/>
        <v/>
      </c>
      <c r="Q127" s="112"/>
      <c r="R127" s="112"/>
      <c r="S127" s="112"/>
      <c r="T127" s="112"/>
      <c r="U127" s="112"/>
      <c r="V127" s="112"/>
    </row>
    <row r="128" spans="4:25" ht="32.1" customHeight="1">
      <c r="D128" s="155"/>
      <c r="E128" s="154"/>
      <c r="P128" s="111" t="str">
        <f t="shared" si="3"/>
        <v/>
      </c>
      <c r="Q128" s="112"/>
      <c r="R128" s="112"/>
      <c r="S128" s="112"/>
      <c r="T128" s="112"/>
      <c r="U128" s="112"/>
      <c r="V128" s="112"/>
    </row>
    <row r="129" spans="4:25" ht="32.1" customHeight="1">
      <c r="D129" s="155"/>
      <c r="E129" s="154"/>
      <c r="P129" s="111" t="str">
        <f t="shared" si="3"/>
        <v/>
      </c>
      <c r="Q129" s="112"/>
      <c r="R129" s="112"/>
      <c r="S129" s="112"/>
      <c r="T129" s="112"/>
      <c r="U129" s="112"/>
      <c r="V129" s="112"/>
    </row>
    <row r="130" spans="4:25" ht="32.1" customHeight="1">
      <c r="D130" s="155"/>
      <c r="E130" s="154"/>
      <c r="P130" s="111" t="str">
        <f t="shared" si="3"/>
        <v/>
      </c>
      <c r="Q130" s="112"/>
      <c r="R130" s="112"/>
      <c r="S130" s="112"/>
      <c r="T130" s="112"/>
      <c r="U130" s="112"/>
      <c r="V130" s="114"/>
    </row>
    <row r="131" spans="4:25" ht="32.1" customHeight="1">
      <c r="D131" s="155"/>
      <c r="E131" s="154"/>
      <c r="P131" s="111" t="str">
        <f t="shared" si="3"/>
        <v/>
      </c>
      <c r="Q131" s="112"/>
      <c r="R131" s="112"/>
      <c r="S131" s="112"/>
      <c r="T131" s="112"/>
      <c r="U131" s="112"/>
      <c r="V131" s="114"/>
    </row>
    <row r="132" spans="4:25" ht="32.1" customHeight="1">
      <c r="D132" s="155"/>
      <c r="E132" s="154"/>
      <c r="P132" s="111" t="str">
        <f t="shared" si="3"/>
        <v/>
      </c>
      <c r="Q132" s="112"/>
      <c r="R132" s="112"/>
      <c r="S132" s="112"/>
      <c r="T132" s="112"/>
      <c r="U132" s="112"/>
      <c r="V132" s="114"/>
    </row>
    <row r="133" spans="4:25" ht="32.1" customHeight="1">
      <c r="D133" s="155"/>
      <c r="E133" s="154"/>
      <c r="P133" s="111" t="str">
        <f t="shared" si="3"/>
        <v/>
      </c>
      <c r="Q133" s="112"/>
      <c r="R133" s="112"/>
      <c r="S133" s="112"/>
      <c r="T133" s="112"/>
      <c r="U133" s="112"/>
      <c r="V133" s="114"/>
    </row>
    <row r="134" spans="4:25" ht="32.1" customHeight="1">
      <c r="D134" s="155"/>
      <c r="E134" s="154"/>
      <c r="P134" s="111" t="str">
        <f t="shared" si="3"/>
        <v/>
      </c>
      <c r="Q134" s="112"/>
      <c r="R134" s="112"/>
      <c r="S134" s="112"/>
      <c r="T134" s="112"/>
      <c r="U134" s="112"/>
      <c r="V134" s="120"/>
      <c r="W134" s="112"/>
      <c r="X134" s="112"/>
      <c r="Y134" s="112"/>
    </row>
    <row r="135" spans="4:25" ht="32.1" customHeight="1">
      <c r="D135" s="155"/>
      <c r="E135" s="154"/>
      <c r="P135" s="111" t="str">
        <f t="shared" si="3"/>
        <v/>
      </c>
      <c r="Q135" s="112"/>
      <c r="R135" s="112"/>
      <c r="S135" s="112"/>
      <c r="T135" s="112"/>
      <c r="U135" s="112"/>
      <c r="V135" s="120"/>
      <c r="W135" s="112"/>
      <c r="X135" s="112"/>
      <c r="Y135" s="112"/>
    </row>
    <row r="136" spans="4:25" ht="32.1" customHeight="1">
      <c r="D136" s="155"/>
      <c r="E136" s="154"/>
      <c r="P136" s="111" t="str">
        <f t="shared" si="3"/>
        <v/>
      </c>
      <c r="Q136" s="112"/>
      <c r="R136" s="112"/>
      <c r="S136" s="112"/>
      <c r="T136" s="112"/>
      <c r="U136" s="112"/>
      <c r="V136" s="112"/>
    </row>
    <row r="137" spans="4:25" ht="32.1" customHeight="1">
      <c r="D137" s="155"/>
      <c r="E137" s="154"/>
      <c r="P137" s="111" t="str">
        <f t="shared" si="3"/>
        <v/>
      </c>
      <c r="Q137" s="112"/>
      <c r="R137" s="112"/>
      <c r="S137" s="112"/>
      <c r="T137" s="112"/>
      <c r="U137" s="112"/>
      <c r="V137" s="112"/>
    </row>
    <row r="138" spans="4:25" ht="32.1" customHeight="1">
      <c r="D138" s="155"/>
      <c r="E138" s="154"/>
      <c r="P138" s="111" t="str">
        <f t="shared" si="3"/>
        <v/>
      </c>
      <c r="Q138" s="112"/>
      <c r="R138" s="112"/>
      <c r="S138" s="112"/>
      <c r="T138" s="112"/>
      <c r="U138" s="112"/>
      <c r="V138" s="112"/>
    </row>
    <row r="139" spans="4:25" ht="32.1" customHeight="1">
      <c r="D139" s="155"/>
      <c r="E139" s="154"/>
      <c r="P139" s="111" t="str">
        <f t="shared" si="3"/>
        <v/>
      </c>
      <c r="Q139" s="112"/>
      <c r="R139" s="112"/>
      <c r="S139" s="112"/>
      <c r="T139" s="112"/>
      <c r="U139" s="112"/>
      <c r="V139" s="112"/>
    </row>
    <row r="140" spans="4:25" ht="32.1" customHeight="1">
      <c r="D140" s="155"/>
      <c r="E140" s="154"/>
      <c r="P140" s="111" t="str">
        <f t="shared" si="3"/>
        <v/>
      </c>
      <c r="Q140" s="112"/>
      <c r="R140" s="112"/>
      <c r="S140" s="112"/>
      <c r="T140" s="112"/>
      <c r="U140" s="112"/>
      <c r="V140" s="112"/>
    </row>
    <row r="141" spans="4:25" ht="32.1" customHeight="1">
      <c r="D141" s="155"/>
      <c r="E141" s="154"/>
      <c r="P141" s="111" t="str">
        <f t="shared" si="3"/>
        <v/>
      </c>
      <c r="Q141" s="112"/>
      <c r="R141" s="112"/>
      <c r="S141" s="112"/>
      <c r="T141" s="112"/>
      <c r="U141" s="112"/>
      <c r="V141" s="112"/>
    </row>
    <row r="142" spans="4:25" ht="32.1" customHeight="1">
      <c r="D142" s="155"/>
      <c r="E142" s="154"/>
      <c r="P142" s="111" t="str">
        <f t="shared" si="3"/>
        <v/>
      </c>
      <c r="Q142" s="112"/>
      <c r="R142" s="112"/>
      <c r="S142" s="112"/>
      <c r="T142" s="112"/>
      <c r="U142" s="112"/>
      <c r="V142" s="112"/>
    </row>
    <row r="143" spans="4:25" ht="32.1" customHeight="1">
      <c r="D143" s="155"/>
      <c r="E143" s="154"/>
      <c r="P143" s="111" t="str">
        <f t="shared" si="3"/>
        <v/>
      </c>
      <c r="Q143" s="112"/>
      <c r="R143" s="112"/>
      <c r="S143" s="112"/>
      <c r="T143" s="112"/>
      <c r="U143" s="112"/>
      <c r="V143" s="112"/>
    </row>
    <row r="144" spans="4:25" ht="32.1" customHeight="1">
      <c r="D144" s="155"/>
      <c r="E144" s="154"/>
      <c r="P144" s="111" t="str">
        <f t="shared" si="3"/>
        <v/>
      </c>
      <c r="Q144" s="112"/>
      <c r="R144" s="112"/>
      <c r="S144" s="112"/>
      <c r="T144" s="112"/>
      <c r="U144" s="112"/>
      <c r="V144" s="112"/>
    </row>
    <row r="145" spans="4:25" ht="32.1" customHeight="1">
      <c r="D145" s="155"/>
      <c r="E145" s="154"/>
      <c r="P145" s="111" t="str">
        <f t="shared" si="3"/>
        <v/>
      </c>
      <c r="Q145" s="112"/>
      <c r="R145" s="112"/>
      <c r="S145" s="112"/>
      <c r="T145" s="112"/>
      <c r="U145" s="112"/>
      <c r="V145" s="112"/>
    </row>
    <row r="146" spans="4:25" ht="32.1" customHeight="1">
      <c r="D146" s="155"/>
      <c r="E146" s="154"/>
      <c r="P146" s="111" t="str">
        <f t="shared" si="3"/>
        <v/>
      </c>
      <c r="Q146" s="112"/>
      <c r="R146" s="112"/>
      <c r="S146" s="112"/>
      <c r="T146" s="112"/>
      <c r="U146" s="112"/>
      <c r="V146" s="112"/>
    </row>
    <row r="147" spans="4:25" ht="32.1" customHeight="1">
      <c r="D147" s="155"/>
      <c r="E147" s="154"/>
      <c r="P147" s="111" t="str">
        <f t="shared" si="3"/>
        <v/>
      </c>
      <c r="Q147" s="112"/>
      <c r="R147" s="112"/>
      <c r="S147" s="112"/>
      <c r="T147" s="112"/>
      <c r="U147" s="112"/>
      <c r="V147" s="112"/>
    </row>
    <row r="148" spans="4:25" ht="32.1" customHeight="1">
      <c r="D148" s="155"/>
      <c r="E148" s="154"/>
      <c r="P148" s="111" t="str">
        <f t="shared" si="3"/>
        <v/>
      </c>
      <c r="Q148" s="112"/>
      <c r="R148" s="112"/>
      <c r="S148" s="112"/>
      <c r="T148" s="112"/>
      <c r="U148" s="112"/>
      <c r="V148" s="112"/>
    </row>
    <row r="149" spans="4:25" ht="32.1" customHeight="1">
      <c r="D149" s="155"/>
      <c r="E149" s="154"/>
      <c r="P149" s="111" t="str">
        <f t="shared" si="3"/>
        <v/>
      </c>
      <c r="Q149" s="112"/>
      <c r="R149" s="112"/>
      <c r="S149" s="112"/>
      <c r="T149" s="112"/>
      <c r="U149" s="112"/>
      <c r="V149" s="112"/>
    </row>
    <row r="150" spans="4:25" ht="32.1" customHeight="1">
      <c r="D150" s="155"/>
      <c r="E150" s="154"/>
      <c r="P150" s="111" t="str">
        <f t="shared" si="3"/>
        <v/>
      </c>
      <c r="Q150" s="112"/>
      <c r="R150" s="112"/>
      <c r="S150" s="112"/>
      <c r="T150" s="112"/>
      <c r="U150" s="112"/>
      <c r="V150" s="112"/>
    </row>
    <row r="151" spans="4:25" ht="32.1" customHeight="1">
      <c r="D151" s="155"/>
      <c r="E151" s="154"/>
      <c r="P151" s="111" t="str">
        <f t="shared" si="3"/>
        <v/>
      </c>
      <c r="Q151" s="112"/>
      <c r="R151" s="112"/>
      <c r="S151" s="112"/>
      <c r="T151" s="112"/>
      <c r="U151" s="112"/>
      <c r="V151" s="114"/>
    </row>
    <row r="152" spans="4:25" ht="32.1" customHeight="1">
      <c r="D152" s="155"/>
      <c r="E152" s="154"/>
      <c r="P152" s="111" t="str">
        <f t="shared" si="3"/>
        <v/>
      </c>
      <c r="Q152" s="112"/>
      <c r="R152" s="112"/>
      <c r="S152" s="112"/>
      <c r="T152" s="112"/>
      <c r="U152" s="112"/>
      <c r="V152" s="114"/>
    </row>
    <row r="153" spans="4:25" ht="32.1" customHeight="1">
      <c r="D153" s="155"/>
      <c r="E153" s="154"/>
      <c r="P153" s="111" t="str">
        <f t="shared" si="3"/>
        <v/>
      </c>
      <c r="Q153" s="112"/>
      <c r="R153" s="112"/>
      <c r="S153" s="112"/>
      <c r="T153" s="112"/>
      <c r="U153" s="112"/>
      <c r="V153" s="114"/>
    </row>
    <row r="154" spans="4:25" ht="32.1" customHeight="1">
      <c r="D154" s="155"/>
      <c r="E154" s="154"/>
      <c r="P154" s="111" t="str">
        <f t="shared" si="3"/>
        <v/>
      </c>
      <c r="Q154" s="112"/>
      <c r="R154" s="112"/>
      <c r="S154" s="112"/>
      <c r="T154" s="112"/>
      <c r="U154" s="112"/>
      <c r="V154" s="114"/>
    </row>
    <row r="155" spans="4:25" ht="32.1" customHeight="1">
      <c r="D155" s="155"/>
      <c r="E155" s="154"/>
      <c r="P155" s="111" t="str">
        <f t="shared" si="3"/>
        <v/>
      </c>
      <c r="Q155" s="112"/>
      <c r="R155" s="112"/>
      <c r="S155" s="112"/>
      <c r="T155" s="112"/>
      <c r="U155" s="112"/>
      <c r="V155" s="120"/>
      <c r="W155" s="112"/>
      <c r="X155" s="112"/>
      <c r="Y155" s="112"/>
    </row>
    <row r="156" spans="4:25" ht="32.1" customHeight="1">
      <c r="D156" s="155"/>
      <c r="E156" s="154"/>
      <c r="P156" s="111" t="str">
        <f t="shared" si="3"/>
        <v/>
      </c>
      <c r="Q156" s="112"/>
      <c r="R156" s="112"/>
      <c r="S156" s="112"/>
      <c r="T156" s="112"/>
      <c r="U156" s="112"/>
      <c r="V156" s="120"/>
      <c r="W156" s="112"/>
      <c r="X156" s="112"/>
      <c r="Y156" s="112"/>
    </row>
    <row r="157" spans="4:25" ht="32.1" customHeight="1">
      <c r="D157" s="155"/>
      <c r="E157" s="154"/>
      <c r="P157" s="111" t="str">
        <f t="shared" si="3"/>
        <v/>
      </c>
      <c r="Q157" s="112"/>
      <c r="R157" s="112"/>
      <c r="S157" s="112"/>
      <c r="T157" s="112"/>
      <c r="U157" s="112"/>
      <c r="V157" s="112"/>
    </row>
    <row r="158" spans="4:25" ht="32.1" customHeight="1">
      <c r="D158" s="155"/>
      <c r="E158" s="154"/>
      <c r="P158" s="111" t="str">
        <f t="shared" si="3"/>
        <v/>
      </c>
      <c r="Q158" s="112"/>
      <c r="R158" s="112"/>
      <c r="S158" s="112"/>
      <c r="T158" s="112"/>
      <c r="U158" s="112"/>
      <c r="V158" s="112"/>
    </row>
    <row r="159" spans="4:25" ht="32.1" customHeight="1">
      <c r="D159" s="155"/>
      <c r="E159" s="154"/>
      <c r="P159" s="111" t="str">
        <f t="shared" si="3"/>
        <v/>
      </c>
      <c r="Q159" s="112"/>
      <c r="R159" s="112"/>
      <c r="S159" s="112"/>
      <c r="T159" s="112"/>
      <c r="U159" s="112"/>
      <c r="V159" s="112"/>
    </row>
    <row r="160" spans="4:25" ht="32.1" customHeight="1">
      <c r="D160" s="155"/>
      <c r="E160" s="154"/>
      <c r="P160" s="111" t="str">
        <f t="shared" si="3"/>
        <v/>
      </c>
      <c r="Q160" s="112"/>
      <c r="R160" s="112"/>
      <c r="S160" s="112"/>
      <c r="T160" s="112"/>
      <c r="U160" s="112"/>
      <c r="V160" s="112"/>
    </row>
    <row r="161" spans="4:25" ht="32.1" customHeight="1">
      <c r="D161" s="155"/>
      <c r="E161" s="154"/>
      <c r="P161" s="111" t="str">
        <f t="shared" si="3"/>
        <v/>
      </c>
      <c r="Q161" s="112"/>
      <c r="R161" s="112"/>
      <c r="S161" s="112"/>
      <c r="T161" s="112"/>
      <c r="U161" s="112"/>
      <c r="V161" s="112"/>
    </row>
    <row r="162" spans="4:25" ht="32.1" customHeight="1">
      <c r="D162" s="155"/>
      <c r="E162" s="154"/>
      <c r="P162" s="111" t="str">
        <f t="shared" si="3"/>
        <v/>
      </c>
      <c r="Q162" s="112"/>
      <c r="R162" s="112"/>
      <c r="S162" s="112"/>
      <c r="T162" s="112"/>
      <c r="U162" s="112"/>
      <c r="V162" s="112"/>
    </row>
    <row r="163" spans="4:25" ht="32.1" customHeight="1">
      <c r="D163" s="155"/>
      <c r="E163" s="154"/>
      <c r="P163" s="111" t="str">
        <f t="shared" si="3"/>
        <v/>
      </c>
      <c r="Q163" s="112"/>
      <c r="R163" s="112"/>
      <c r="S163" s="112"/>
      <c r="T163" s="112"/>
      <c r="U163" s="112"/>
      <c r="V163" s="112"/>
    </row>
    <row r="164" spans="4:25" ht="32.1" customHeight="1">
      <c r="D164" s="155"/>
      <c r="E164" s="154"/>
      <c r="P164" s="111" t="str">
        <f t="shared" si="3"/>
        <v/>
      </c>
      <c r="Q164" s="112"/>
      <c r="R164" s="112"/>
      <c r="S164" s="112"/>
      <c r="T164" s="112"/>
      <c r="U164" s="112"/>
      <c r="V164" s="112"/>
    </row>
    <row r="165" spans="4:25" ht="32.1" customHeight="1">
      <c r="D165" s="155"/>
      <c r="E165" s="154"/>
      <c r="P165" s="111" t="str">
        <f t="shared" si="3"/>
        <v/>
      </c>
      <c r="Q165" s="112"/>
      <c r="R165" s="112"/>
      <c r="S165" s="112"/>
      <c r="T165" s="112"/>
      <c r="U165" s="112"/>
      <c r="V165" s="112"/>
    </row>
    <row r="166" spans="4:25" ht="32.1" customHeight="1">
      <c r="D166" s="155"/>
      <c r="E166" s="154"/>
      <c r="P166" s="111" t="str">
        <f t="shared" si="3"/>
        <v/>
      </c>
      <c r="Q166" s="112"/>
      <c r="R166" s="112"/>
      <c r="S166" s="112"/>
      <c r="T166" s="112"/>
      <c r="U166" s="112"/>
      <c r="V166" s="112"/>
    </row>
    <row r="167" spans="4:25" ht="32.1" customHeight="1">
      <c r="D167" s="155"/>
      <c r="E167" s="154"/>
      <c r="P167" s="111" t="str">
        <f t="shared" si="3"/>
        <v/>
      </c>
      <c r="Q167" s="112"/>
      <c r="R167" s="112"/>
      <c r="S167" s="112"/>
      <c r="T167" s="112"/>
      <c r="U167" s="112"/>
      <c r="V167" s="112"/>
    </row>
    <row r="168" spans="4:25" ht="32.1" customHeight="1">
      <c r="D168" s="155"/>
      <c r="E168" s="154"/>
      <c r="P168" s="111" t="str">
        <f t="shared" si="3"/>
        <v/>
      </c>
      <c r="Q168" s="112"/>
      <c r="R168" s="112"/>
      <c r="S168" s="112"/>
      <c r="T168" s="112"/>
      <c r="U168" s="112"/>
      <c r="V168" s="112"/>
    </row>
    <row r="169" spans="4:25" ht="32.1" customHeight="1">
      <c r="D169" s="155"/>
      <c r="E169" s="154"/>
      <c r="P169" s="111" t="str">
        <f t="shared" si="3"/>
        <v/>
      </c>
      <c r="Q169" s="112"/>
      <c r="R169" s="112"/>
      <c r="S169" s="112"/>
      <c r="T169" s="112"/>
      <c r="U169" s="112"/>
      <c r="V169" s="112"/>
    </row>
    <row r="170" spans="4:25" ht="32.1" customHeight="1">
      <c r="D170" s="155"/>
      <c r="E170" s="154"/>
      <c r="P170" s="111" t="str">
        <f t="shared" si="3"/>
        <v/>
      </c>
      <c r="Q170" s="112"/>
      <c r="R170" s="112"/>
      <c r="S170" s="112"/>
      <c r="T170" s="112"/>
      <c r="U170" s="112"/>
      <c r="V170" s="112"/>
    </row>
    <row r="171" spans="4:25" ht="32.1" customHeight="1">
      <c r="D171" s="155"/>
      <c r="E171" s="154"/>
      <c r="P171" s="111" t="str">
        <f t="shared" si="3"/>
        <v/>
      </c>
      <c r="Q171" s="112"/>
      <c r="R171" s="112"/>
      <c r="S171" s="112"/>
      <c r="T171" s="112"/>
      <c r="U171" s="112"/>
      <c r="V171" s="112"/>
    </row>
    <row r="172" spans="4:25" ht="32.1" customHeight="1">
      <c r="D172" s="155"/>
      <c r="E172" s="154"/>
      <c r="P172" s="111" t="str">
        <f t="shared" ref="P172:P219" si="4">CONCATENATE(C172,H172)</f>
        <v/>
      </c>
      <c r="Q172" s="112"/>
      <c r="R172" s="112"/>
      <c r="S172" s="112"/>
      <c r="T172" s="112"/>
      <c r="U172" s="112"/>
      <c r="V172" s="114"/>
    </row>
    <row r="173" spans="4:25" ht="32.1" customHeight="1">
      <c r="D173" s="155"/>
      <c r="E173" s="154"/>
      <c r="P173" s="111" t="str">
        <f t="shared" si="4"/>
        <v/>
      </c>
      <c r="Q173" s="112"/>
      <c r="R173" s="112"/>
      <c r="S173" s="112"/>
      <c r="T173" s="112"/>
      <c r="U173" s="112"/>
      <c r="V173" s="114"/>
    </row>
    <row r="174" spans="4:25" ht="32.1" customHeight="1">
      <c r="D174" s="155"/>
      <c r="E174" s="154"/>
      <c r="P174" s="111" t="str">
        <f t="shared" si="4"/>
        <v/>
      </c>
      <c r="Q174" s="112"/>
      <c r="R174" s="112"/>
      <c r="S174" s="112"/>
      <c r="T174" s="112"/>
      <c r="U174" s="112"/>
      <c r="V174" s="114"/>
    </row>
    <row r="175" spans="4:25" ht="32.1" customHeight="1">
      <c r="D175" s="155"/>
      <c r="E175" s="154"/>
      <c r="P175" s="111" t="str">
        <f t="shared" si="4"/>
        <v/>
      </c>
      <c r="Q175" s="112"/>
      <c r="R175" s="112"/>
      <c r="S175" s="112"/>
      <c r="T175" s="112"/>
      <c r="U175" s="112"/>
      <c r="V175" s="114"/>
    </row>
    <row r="176" spans="4:25" ht="32.1" customHeight="1">
      <c r="D176" s="155"/>
      <c r="E176" s="154"/>
      <c r="P176" s="111" t="str">
        <f t="shared" si="4"/>
        <v/>
      </c>
      <c r="Q176" s="112"/>
      <c r="R176" s="112"/>
      <c r="S176" s="112"/>
      <c r="T176" s="112"/>
      <c r="U176" s="112"/>
      <c r="V176" s="120"/>
      <c r="W176" s="112"/>
      <c r="X176" s="112"/>
      <c r="Y176" s="112"/>
    </row>
    <row r="177" spans="4:25" ht="32.1" customHeight="1">
      <c r="D177" s="155"/>
      <c r="E177" s="154"/>
      <c r="P177" s="111" t="str">
        <f t="shared" si="4"/>
        <v/>
      </c>
      <c r="Q177" s="112"/>
      <c r="R177" s="112"/>
      <c r="S177" s="112"/>
      <c r="T177" s="112"/>
      <c r="U177" s="112"/>
      <c r="V177" s="120"/>
      <c r="W177" s="112"/>
      <c r="X177" s="112"/>
      <c r="Y177" s="112"/>
    </row>
    <row r="178" spans="4:25" ht="32.1" customHeight="1">
      <c r="D178" s="155"/>
      <c r="E178" s="154"/>
      <c r="P178" s="111" t="str">
        <f t="shared" si="4"/>
        <v/>
      </c>
      <c r="Q178" s="112"/>
      <c r="R178" s="112"/>
      <c r="S178" s="112"/>
      <c r="T178" s="112"/>
      <c r="U178" s="112"/>
      <c r="V178" s="112"/>
    </row>
    <row r="179" spans="4:25" ht="32.1" customHeight="1">
      <c r="D179" s="155"/>
      <c r="E179" s="154"/>
      <c r="P179" s="111" t="str">
        <f t="shared" si="4"/>
        <v/>
      </c>
      <c r="Q179" s="112"/>
      <c r="R179" s="112"/>
      <c r="S179" s="112"/>
      <c r="T179" s="112"/>
      <c r="U179" s="112"/>
      <c r="V179" s="112"/>
    </row>
    <row r="180" spans="4:25" ht="32.1" customHeight="1">
      <c r="D180" s="155"/>
      <c r="E180" s="154"/>
      <c r="P180" s="111" t="str">
        <f t="shared" si="4"/>
        <v/>
      </c>
      <c r="Q180" s="112"/>
      <c r="R180" s="112"/>
      <c r="S180" s="112"/>
      <c r="T180" s="112"/>
      <c r="U180" s="112"/>
      <c r="V180" s="112"/>
    </row>
    <row r="181" spans="4:25" ht="32.1" customHeight="1">
      <c r="D181" s="155"/>
      <c r="E181" s="154"/>
      <c r="P181" s="111" t="str">
        <f t="shared" si="4"/>
        <v/>
      </c>
      <c r="Q181" s="112"/>
      <c r="R181" s="112"/>
      <c r="S181" s="112"/>
      <c r="T181" s="112"/>
      <c r="U181" s="112"/>
      <c r="V181" s="112"/>
    </row>
    <row r="182" spans="4:25" ht="32.1" customHeight="1">
      <c r="D182" s="155"/>
      <c r="E182" s="154"/>
      <c r="P182" s="111" t="str">
        <f t="shared" si="4"/>
        <v/>
      </c>
      <c r="Q182" s="112"/>
      <c r="R182" s="112"/>
      <c r="S182" s="112"/>
      <c r="T182" s="112"/>
      <c r="U182" s="112"/>
      <c r="V182" s="112"/>
    </row>
    <row r="183" spans="4:25" ht="32.1" customHeight="1">
      <c r="D183" s="155"/>
      <c r="E183" s="154"/>
      <c r="P183" s="111" t="str">
        <f t="shared" si="4"/>
        <v/>
      </c>
      <c r="Q183" s="112"/>
      <c r="R183" s="112"/>
      <c r="S183" s="112"/>
      <c r="T183" s="112"/>
      <c r="U183" s="112"/>
      <c r="V183" s="112"/>
    </row>
    <row r="184" spans="4:25" ht="32.1" customHeight="1">
      <c r="D184" s="155"/>
      <c r="E184" s="154"/>
      <c r="P184" s="111" t="str">
        <f t="shared" si="4"/>
        <v/>
      </c>
      <c r="Q184" s="112"/>
      <c r="R184" s="112"/>
      <c r="S184" s="112"/>
      <c r="T184" s="112"/>
      <c r="U184" s="112"/>
      <c r="V184" s="112"/>
    </row>
    <row r="185" spans="4:25" ht="32.1" customHeight="1">
      <c r="D185" s="155"/>
      <c r="E185" s="154"/>
      <c r="P185" s="111" t="str">
        <f t="shared" si="4"/>
        <v/>
      </c>
      <c r="Q185" s="112"/>
      <c r="R185" s="112"/>
      <c r="S185" s="112"/>
      <c r="T185" s="112"/>
      <c r="U185" s="112"/>
      <c r="V185" s="112"/>
    </row>
    <row r="186" spans="4:25" ht="32.1" customHeight="1">
      <c r="D186" s="155"/>
      <c r="E186" s="154"/>
      <c r="P186" s="111" t="str">
        <f t="shared" si="4"/>
        <v/>
      </c>
      <c r="Q186" s="112"/>
      <c r="R186" s="112"/>
      <c r="S186" s="112"/>
      <c r="T186" s="112"/>
      <c r="U186" s="112"/>
      <c r="V186" s="112"/>
    </row>
    <row r="187" spans="4:25" ht="32.1" customHeight="1">
      <c r="D187" s="155"/>
      <c r="E187" s="154"/>
      <c r="P187" s="111" t="str">
        <f t="shared" si="4"/>
        <v/>
      </c>
      <c r="Q187" s="112"/>
      <c r="R187" s="112"/>
      <c r="S187" s="112"/>
      <c r="T187" s="112"/>
      <c r="U187" s="112"/>
      <c r="V187" s="112"/>
    </row>
    <row r="188" spans="4:25" ht="32.1" customHeight="1">
      <c r="D188" s="155"/>
      <c r="E188" s="154"/>
      <c r="P188" s="111" t="str">
        <f t="shared" si="4"/>
        <v/>
      </c>
      <c r="Q188" s="112"/>
      <c r="R188" s="112"/>
      <c r="S188" s="112"/>
      <c r="T188" s="112"/>
      <c r="U188" s="112"/>
      <c r="V188" s="112"/>
    </row>
    <row r="189" spans="4:25" ht="32.1" customHeight="1">
      <c r="D189" s="155"/>
      <c r="E189" s="154"/>
      <c r="P189" s="111" t="str">
        <f t="shared" si="4"/>
        <v/>
      </c>
      <c r="Q189" s="112"/>
      <c r="R189" s="112"/>
      <c r="S189" s="112"/>
      <c r="T189" s="112"/>
      <c r="U189" s="112"/>
      <c r="V189" s="112"/>
    </row>
    <row r="190" spans="4:25" ht="32.1" customHeight="1">
      <c r="D190" s="155"/>
      <c r="E190" s="154"/>
      <c r="P190" s="111" t="str">
        <f t="shared" si="4"/>
        <v/>
      </c>
      <c r="Q190" s="112"/>
      <c r="R190" s="112"/>
      <c r="S190" s="112"/>
      <c r="T190" s="112"/>
      <c r="U190" s="112"/>
      <c r="V190" s="112"/>
    </row>
    <row r="191" spans="4:25" ht="32.1" customHeight="1">
      <c r="D191" s="155"/>
      <c r="E191" s="154"/>
      <c r="P191" s="111" t="str">
        <f t="shared" si="4"/>
        <v/>
      </c>
      <c r="Q191" s="112"/>
      <c r="R191" s="112"/>
      <c r="S191" s="112"/>
      <c r="T191" s="112"/>
      <c r="U191" s="112"/>
      <c r="V191" s="112"/>
    </row>
    <row r="192" spans="4:25" ht="32.1" customHeight="1">
      <c r="D192" s="155"/>
      <c r="E192" s="154"/>
      <c r="P192" s="111" t="str">
        <f t="shared" si="4"/>
        <v/>
      </c>
      <c r="Q192" s="112"/>
      <c r="R192" s="112"/>
      <c r="S192" s="112"/>
      <c r="T192" s="112"/>
      <c r="U192" s="112"/>
      <c r="V192" s="112"/>
    </row>
    <row r="193" spans="4:25" ht="32.1" customHeight="1">
      <c r="D193" s="155"/>
      <c r="E193" s="154"/>
      <c r="P193" s="111" t="str">
        <f t="shared" si="4"/>
        <v/>
      </c>
      <c r="Q193" s="112"/>
      <c r="R193" s="112"/>
      <c r="S193" s="112"/>
      <c r="T193" s="112"/>
      <c r="U193" s="112"/>
      <c r="V193" s="114"/>
    </row>
    <row r="194" spans="4:25" ht="32.1" customHeight="1">
      <c r="D194" s="155"/>
      <c r="E194" s="154"/>
      <c r="P194" s="111" t="str">
        <f t="shared" si="4"/>
        <v/>
      </c>
      <c r="Q194" s="112"/>
      <c r="R194" s="112"/>
      <c r="S194" s="112"/>
      <c r="T194" s="112"/>
      <c r="U194" s="112"/>
      <c r="V194" s="114"/>
    </row>
    <row r="195" spans="4:25" ht="32.1" customHeight="1">
      <c r="D195" s="155"/>
      <c r="E195" s="154"/>
      <c r="P195" s="111" t="str">
        <f t="shared" si="4"/>
        <v/>
      </c>
      <c r="Q195" s="112"/>
      <c r="R195" s="112"/>
      <c r="S195" s="112"/>
      <c r="T195" s="112"/>
      <c r="U195" s="112"/>
      <c r="V195" s="114"/>
    </row>
    <row r="196" spans="4:25" ht="32.1" customHeight="1">
      <c r="D196" s="155"/>
      <c r="E196" s="154"/>
      <c r="P196" s="111" t="str">
        <f t="shared" si="4"/>
        <v/>
      </c>
      <c r="Q196" s="112"/>
      <c r="R196" s="112"/>
      <c r="S196" s="112"/>
      <c r="T196" s="112"/>
      <c r="U196" s="112"/>
      <c r="V196" s="114"/>
    </row>
    <row r="197" spans="4:25" ht="32.1" customHeight="1">
      <c r="D197" s="155"/>
      <c r="E197" s="154"/>
      <c r="P197" s="111" t="str">
        <f t="shared" si="4"/>
        <v/>
      </c>
      <c r="Q197" s="112"/>
      <c r="R197" s="112"/>
      <c r="S197" s="112"/>
      <c r="T197" s="112"/>
      <c r="U197" s="112"/>
      <c r="V197" s="120"/>
      <c r="W197" s="112"/>
      <c r="X197" s="112"/>
      <c r="Y197" s="112"/>
    </row>
    <row r="198" spans="4:25" ht="32.1" customHeight="1">
      <c r="D198" s="155"/>
      <c r="E198" s="154"/>
      <c r="P198" s="111" t="str">
        <f t="shared" si="4"/>
        <v/>
      </c>
      <c r="Q198" s="112"/>
      <c r="R198" s="112"/>
      <c r="S198" s="112"/>
      <c r="T198" s="112"/>
      <c r="U198" s="112"/>
      <c r="V198" s="120"/>
      <c r="W198" s="112"/>
      <c r="X198" s="112"/>
      <c r="Y198" s="112"/>
    </row>
    <row r="199" spans="4:25" ht="32.1" customHeight="1">
      <c r="D199" s="155"/>
      <c r="E199" s="154"/>
      <c r="P199" s="111" t="str">
        <f t="shared" si="4"/>
        <v/>
      </c>
      <c r="Q199" s="112"/>
      <c r="R199" s="112"/>
      <c r="S199" s="112"/>
      <c r="T199" s="112"/>
      <c r="U199" s="112"/>
      <c r="V199" s="112"/>
    </row>
    <row r="200" spans="4:25" ht="32.1" customHeight="1">
      <c r="D200" s="155"/>
      <c r="E200" s="154"/>
      <c r="P200" s="111" t="str">
        <f t="shared" si="4"/>
        <v/>
      </c>
      <c r="Q200" s="112"/>
      <c r="R200" s="112"/>
      <c r="S200" s="112"/>
      <c r="T200" s="112"/>
      <c r="U200" s="112"/>
      <c r="V200" s="112"/>
    </row>
    <row r="201" spans="4:25" ht="32.1" customHeight="1">
      <c r="D201" s="155"/>
      <c r="E201" s="154"/>
      <c r="P201" s="111" t="str">
        <f t="shared" si="4"/>
        <v/>
      </c>
      <c r="Q201" s="112"/>
      <c r="R201" s="112"/>
      <c r="S201" s="112"/>
      <c r="T201" s="112"/>
      <c r="U201" s="112"/>
      <c r="V201" s="112"/>
    </row>
    <row r="202" spans="4:25" ht="32.1" customHeight="1">
      <c r="D202" s="155"/>
      <c r="E202" s="154"/>
      <c r="P202" s="111" t="str">
        <f t="shared" si="4"/>
        <v/>
      </c>
      <c r="Q202" s="112"/>
      <c r="R202" s="112"/>
      <c r="S202" s="112"/>
      <c r="T202" s="112"/>
      <c r="U202" s="112"/>
      <c r="V202" s="112"/>
    </row>
    <row r="203" spans="4:25" ht="32.1" customHeight="1">
      <c r="D203" s="155"/>
      <c r="E203" s="154"/>
      <c r="P203" s="111" t="str">
        <f t="shared" si="4"/>
        <v/>
      </c>
      <c r="Q203" s="112"/>
      <c r="R203" s="112"/>
      <c r="S203" s="112"/>
      <c r="T203" s="112"/>
      <c r="U203" s="112"/>
      <c r="V203" s="112"/>
    </row>
    <row r="204" spans="4:25" ht="32.1" customHeight="1">
      <c r="D204" s="155"/>
      <c r="E204" s="154"/>
      <c r="P204" s="111" t="str">
        <f t="shared" si="4"/>
        <v/>
      </c>
      <c r="Q204" s="112"/>
      <c r="R204" s="112"/>
      <c r="S204" s="112"/>
      <c r="T204" s="112"/>
      <c r="U204" s="112"/>
      <c r="V204" s="112"/>
    </row>
    <row r="205" spans="4:25" ht="32.1" customHeight="1">
      <c r="D205" s="155"/>
      <c r="E205" s="154"/>
      <c r="P205" s="111" t="str">
        <f t="shared" si="4"/>
        <v/>
      </c>
      <c r="Q205" s="112"/>
      <c r="R205" s="112"/>
      <c r="S205" s="112"/>
      <c r="T205" s="112"/>
      <c r="U205" s="112"/>
      <c r="V205" s="112"/>
    </row>
    <row r="206" spans="4:25" ht="32.1" customHeight="1">
      <c r="D206" s="155"/>
      <c r="E206" s="154"/>
      <c r="P206" s="111" t="str">
        <f t="shared" si="4"/>
        <v/>
      </c>
      <c r="Q206" s="112"/>
      <c r="R206" s="112"/>
      <c r="S206" s="112"/>
      <c r="T206" s="112"/>
      <c r="U206" s="112"/>
      <c r="V206" s="112"/>
    </row>
    <row r="207" spans="4:25" ht="32.1" customHeight="1">
      <c r="D207" s="155"/>
      <c r="E207" s="154"/>
      <c r="P207" s="111" t="str">
        <f t="shared" si="4"/>
        <v/>
      </c>
      <c r="Q207" s="112"/>
      <c r="R207" s="112"/>
      <c r="S207" s="112"/>
      <c r="T207" s="112"/>
      <c r="U207" s="112"/>
      <c r="V207" s="112"/>
    </row>
    <row r="208" spans="4:25" ht="32.1" customHeight="1">
      <c r="D208" s="155"/>
      <c r="E208" s="154"/>
      <c r="P208" s="111" t="str">
        <f t="shared" si="4"/>
        <v/>
      </c>
      <c r="Q208" s="112"/>
      <c r="R208" s="112"/>
      <c r="S208" s="112"/>
      <c r="T208" s="112"/>
      <c r="U208" s="112"/>
      <c r="V208" s="112"/>
    </row>
    <row r="209" spans="4:25" ht="32.1" customHeight="1">
      <c r="D209" s="155"/>
      <c r="E209" s="154"/>
      <c r="P209" s="111" t="str">
        <f t="shared" si="4"/>
        <v/>
      </c>
      <c r="Q209" s="112"/>
      <c r="R209" s="112"/>
      <c r="S209" s="112"/>
      <c r="T209" s="112"/>
      <c r="U209" s="112"/>
      <c r="V209" s="112"/>
    </row>
    <row r="210" spans="4:25" ht="32.1" customHeight="1">
      <c r="D210" s="155"/>
      <c r="E210" s="154"/>
      <c r="P210" s="111" t="str">
        <f t="shared" si="4"/>
        <v/>
      </c>
      <c r="Q210" s="112"/>
      <c r="R210" s="112"/>
      <c r="S210" s="112"/>
      <c r="T210" s="112"/>
      <c r="U210" s="112"/>
      <c r="V210" s="112"/>
    </row>
    <row r="211" spans="4:25" ht="32.1" customHeight="1">
      <c r="D211" s="155"/>
      <c r="E211" s="154"/>
      <c r="P211" s="111" t="str">
        <f t="shared" si="4"/>
        <v/>
      </c>
      <c r="Q211" s="112"/>
      <c r="R211" s="112"/>
      <c r="S211" s="112"/>
      <c r="T211" s="112"/>
      <c r="U211" s="112"/>
      <c r="V211" s="112"/>
    </row>
    <row r="212" spans="4:25" ht="32.1" customHeight="1">
      <c r="D212" s="155"/>
      <c r="E212" s="154"/>
      <c r="P212" s="111" t="str">
        <f t="shared" si="4"/>
        <v/>
      </c>
      <c r="Q212" s="112"/>
      <c r="R212" s="112"/>
      <c r="S212" s="112"/>
      <c r="T212" s="112"/>
      <c r="U212" s="112"/>
      <c r="V212" s="112"/>
    </row>
    <row r="213" spans="4:25" ht="32.1" customHeight="1">
      <c r="D213" s="155"/>
      <c r="E213" s="154"/>
      <c r="P213" s="111" t="str">
        <f t="shared" si="4"/>
        <v/>
      </c>
      <c r="Q213" s="112"/>
      <c r="R213" s="112"/>
      <c r="S213" s="112"/>
      <c r="T213" s="112"/>
      <c r="U213" s="112"/>
      <c r="V213" s="112"/>
    </row>
    <row r="214" spans="4:25" ht="32.1" customHeight="1">
      <c r="D214" s="155"/>
      <c r="E214" s="154"/>
      <c r="P214" s="111" t="str">
        <f t="shared" si="4"/>
        <v/>
      </c>
      <c r="Q214" s="112"/>
      <c r="R214" s="112"/>
      <c r="S214" s="112"/>
      <c r="T214" s="112"/>
      <c r="U214" s="112"/>
      <c r="V214" s="114"/>
    </row>
    <row r="215" spans="4:25" ht="32.1" customHeight="1">
      <c r="D215" s="155"/>
      <c r="E215" s="154"/>
      <c r="P215" s="111" t="str">
        <f t="shared" si="4"/>
        <v/>
      </c>
      <c r="Q215" s="112"/>
      <c r="R215" s="112"/>
      <c r="S215" s="112"/>
      <c r="T215" s="112"/>
      <c r="U215" s="112"/>
      <c r="V215" s="114"/>
    </row>
    <row r="216" spans="4:25" ht="32.1" customHeight="1">
      <c r="D216" s="155"/>
      <c r="E216" s="154"/>
      <c r="P216" s="111" t="str">
        <f t="shared" si="4"/>
        <v/>
      </c>
      <c r="Q216" s="112"/>
      <c r="R216" s="112"/>
      <c r="S216" s="112"/>
      <c r="T216" s="112"/>
      <c r="U216" s="112"/>
      <c r="V216" s="114"/>
    </row>
    <row r="217" spans="4:25" ht="32.1" customHeight="1">
      <c r="D217" s="155"/>
      <c r="E217" s="154"/>
      <c r="P217" s="111" t="str">
        <f t="shared" si="4"/>
        <v/>
      </c>
      <c r="Q217" s="112"/>
      <c r="R217" s="112"/>
      <c r="S217" s="112"/>
      <c r="T217" s="112"/>
      <c r="U217" s="112"/>
      <c r="V217" s="114"/>
    </row>
    <row r="218" spans="4:25" ht="32.1" customHeight="1">
      <c r="D218" s="155"/>
      <c r="E218" s="154"/>
      <c r="P218" s="111" t="str">
        <f t="shared" si="4"/>
        <v/>
      </c>
      <c r="Q218" s="112"/>
      <c r="R218" s="112"/>
      <c r="S218" s="112"/>
      <c r="T218" s="112"/>
      <c r="U218" s="112"/>
      <c r="V218" s="120"/>
      <c r="W218" s="112"/>
      <c r="X218" s="112"/>
      <c r="Y218" s="112"/>
    </row>
    <row r="219" spans="4:25" ht="32.1" customHeight="1">
      <c r="D219" s="155"/>
      <c r="E219" s="154"/>
      <c r="P219" s="111" t="str">
        <f t="shared" si="4"/>
        <v/>
      </c>
      <c r="Q219" s="112"/>
      <c r="R219" s="112"/>
      <c r="S219" s="112"/>
      <c r="T219" s="112"/>
      <c r="U219" s="112"/>
      <c r="V219" s="120"/>
      <c r="W219" s="112"/>
      <c r="X219" s="112"/>
      <c r="Y219" s="112"/>
    </row>
    <row r="220" spans="4:25" ht="32.1" hidden="1" customHeight="1">
      <c r="D220" s="155"/>
      <c r="E220" s="154"/>
      <c r="Q220" s="123"/>
      <c r="R220" s="123"/>
      <c r="S220" s="123"/>
      <c r="T220" s="123"/>
      <c r="U220" s="123"/>
      <c r="V220" s="123"/>
    </row>
    <row r="221" spans="4:25" ht="32.1" hidden="1" customHeight="1">
      <c r="D221" s="155"/>
      <c r="E221" s="154"/>
      <c r="Q221" s="123"/>
      <c r="R221" s="123"/>
      <c r="S221" s="123"/>
      <c r="T221" s="123"/>
      <c r="U221" s="123"/>
      <c r="V221" s="123"/>
    </row>
    <row r="222" spans="4:25" ht="32.1" hidden="1" customHeight="1">
      <c r="D222" s="155"/>
      <c r="E222" s="154"/>
    </row>
    <row r="223" spans="4:25" ht="32.1" hidden="1" customHeight="1">
      <c r="D223" s="155"/>
      <c r="E223" s="154"/>
    </row>
    <row r="224" spans="4:25" ht="32.1" hidden="1" customHeight="1">
      <c r="D224" s="155"/>
      <c r="E224" s="154"/>
    </row>
    <row r="225" spans="4:5" ht="32.1" hidden="1" customHeight="1">
      <c r="D225" s="155"/>
      <c r="E225" s="154"/>
    </row>
    <row r="226" spans="4:5" ht="32.1" hidden="1" customHeight="1">
      <c r="D226" s="155"/>
      <c r="E226" s="154"/>
    </row>
    <row r="227" spans="4:5" ht="32.1" hidden="1" customHeight="1">
      <c r="D227" s="155"/>
      <c r="E227" s="154"/>
    </row>
    <row r="228" spans="4:5" ht="32.1" hidden="1" customHeight="1">
      <c r="D228" s="155"/>
      <c r="E228" s="154"/>
    </row>
    <row r="229" spans="4:5" ht="32.1" hidden="1" customHeight="1">
      <c r="D229" s="155"/>
      <c r="E229" s="154"/>
    </row>
    <row r="230" spans="4:5" ht="32.1" hidden="1" customHeight="1">
      <c r="D230" s="155"/>
      <c r="E230" s="154"/>
    </row>
    <row r="231" spans="4:5" ht="32.1" hidden="1" customHeight="1">
      <c r="D231" s="155"/>
      <c r="E231" s="154"/>
    </row>
    <row r="232" spans="4:5" ht="32.1" hidden="1" customHeight="1">
      <c r="D232" s="155"/>
      <c r="E232" s="154"/>
    </row>
    <row r="233" spans="4:5" ht="32.1" hidden="1" customHeight="1">
      <c r="D233" s="155"/>
      <c r="E233" s="154"/>
    </row>
    <row r="234" spans="4:5" ht="32.1" hidden="1" customHeight="1">
      <c r="D234" s="155"/>
      <c r="E234" s="154"/>
    </row>
    <row r="235" spans="4:5" ht="32.1" hidden="1" customHeight="1">
      <c r="D235" s="155"/>
      <c r="E235" s="154"/>
    </row>
    <row r="236" spans="4:5" ht="32.1" hidden="1" customHeight="1">
      <c r="D236" s="155"/>
      <c r="E236" s="154"/>
    </row>
    <row r="237" spans="4:5" ht="32.1" hidden="1" customHeight="1">
      <c r="D237" s="155"/>
      <c r="E237" s="154"/>
    </row>
    <row r="238" spans="4:5" ht="32.1" hidden="1" customHeight="1">
      <c r="D238" s="155"/>
      <c r="E238" s="154"/>
    </row>
    <row r="239" spans="4:5" ht="32.1" hidden="1" customHeight="1">
      <c r="D239" s="155"/>
      <c r="E239" s="154"/>
    </row>
    <row r="240" spans="4:5" ht="32.1" hidden="1" customHeight="1">
      <c r="D240" s="155"/>
      <c r="E240" s="154"/>
    </row>
    <row r="241" spans="4:5" ht="32.1" hidden="1" customHeight="1">
      <c r="D241" s="155"/>
      <c r="E241" s="154"/>
    </row>
    <row r="242" spans="4:5" ht="32.1" hidden="1" customHeight="1">
      <c r="D242" s="155"/>
      <c r="E242" s="154"/>
    </row>
    <row r="243" spans="4:5" ht="32.1" hidden="1" customHeight="1">
      <c r="D243" s="155"/>
      <c r="E243" s="154"/>
    </row>
    <row r="244" spans="4:5" ht="32.1" hidden="1" customHeight="1">
      <c r="D244" s="155"/>
      <c r="E244" s="154"/>
    </row>
    <row r="245" spans="4:5" ht="32.1" hidden="1" customHeight="1">
      <c r="D245" s="155"/>
      <c r="E245" s="154"/>
    </row>
    <row r="246" spans="4:5" ht="32.1" hidden="1" customHeight="1">
      <c r="D246" s="155"/>
      <c r="E246" s="154"/>
    </row>
    <row r="247" spans="4:5" ht="32.1" hidden="1" customHeight="1">
      <c r="D247" s="155"/>
      <c r="E247" s="154"/>
    </row>
    <row r="248" spans="4:5" ht="32.1" hidden="1" customHeight="1">
      <c r="D248" s="155"/>
      <c r="E248" s="154"/>
    </row>
    <row r="249" spans="4:5" ht="32.1" hidden="1" customHeight="1">
      <c r="D249" s="155"/>
      <c r="E249" s="154"/>
    </row>
    <row r="250" spans="4:5" ht="32.1" hidden="1" customHeight="1">
      <c r="D250" s="155"/>
      <c r="E250" s="154"/>
    </row>
    <row r="251" spans="4:5" ht="32.1" hidden="1" customHeight="1">
      <c r="D251" s="155"/>
      <c r="E251" s="154"/>
    </row>
    <row r="252" spans="4:5" ht="32.1" hidden="1" customHeight="1">
      <c r="D252" s="155"/>
      <c r="E252" s="154"/>
    </row>
    <row r="253" spans="4:5" ht="32.1" hidden="1" customHeight="1">
      <c r="D253" s="155"/>
      <c r="E253" s="154"/>
    </row>
    <row r="254" spans="4:5" ht="32.1" hidden="1" customHeight="1">
      <c r="D254" s="155"/>
      <c r="E254" s="154"/>
    </row>
    <row r="255" spans="4:5" ht="32.1" hidden="1" customHeight="1">
      <c r="D255" s="155"/>
      <c r="E255" s="154"/>
    </row>
    <row r="256" spans="4:5" ht="32.1" hidden="1" customHeight="1">
      <c r="D256" s="155"/>
      <c r="E256" s="154"/>
    </row>
    <row r="257" spans="4:5" ht="32.1" hidden="1" customHeight="1">
      <c r="D257" s="155"/>
      <c r="E257" s="154"/>
    </row>
    <row r="258" spans="4:5" ht="32.1" hidden="1" customHeight="1">
      <c r="D258" s="155"/>
      <c r="E258" s="154"/>
    </row>
    <row r="259" spans="4:5" ht="32.1" hidden="1" customHeight="1">
      <c r="D259" s="155"/>
      <c r="E259" s="154"/>
    </row>
    <row r="260" spans="4:5" ht="32.1" hidden="1" customHeight="1">
      <c r="D260" s="155"/>
      <c r="E260" s="154"/>
    </row>
    <row r="261" spans="4:5" ht="32.1" hidden="1" customHeight="1">
      <c r="D261" s="155"/>
      <c r="E261" s="154"/>
    </row>
    <row r="262" spans="4:5" ht="32.1" hidden="1" customHeight="1">
      <c r="D262" s="155"/>
      <c r="E262" s="154"/>
    </row>
    <row r="263" spans="4:5" ht="32.1" hidden="1" customHeight="1">
      <c r="D263" s="155"/>
      <c r="E263" s="154"/>
    </row>
    <row r="264" spans="4:5" ht="32.1" hidden="1" customHeight="1">
      <c r="D264" s="155"/>
      <c r="E264" s="154"/>
    </row>
    <row r="265" spans="4:5" ht="32.1" hidden="1" customHeight="1">
      <c r="D265" s="155"/>
      <c r="E265" s="154"/>
    </row>
    <row r="266" spans="4:5" ht="32.1" hidden="1" customHeight="1">
      <c r="D266" s="155"/>
      <c r="E266" s="154"/>
    </row>
    <row r="267" spans="4:5" ht="32.1" hidden="1" customHeight="1">
      <c r="D267" s="155"/>
      <c r="E267" s="154"/>
    </row>
    <row r="268" spans="4:5" ht="32.1" hidden="1" customHeight="1">
      <c r="D268" s="155"/>
      <c r="E268" s="154"/>
    </row>
    <row r="269" spans="4:5" ht="32.1" hidden="1" customHeight="1">
      <c r="D269" s="155"/>
      <c r="E269" s="154"/>
    </row>
    <row r="270" spans="4:5" ht="32.1" hidden="1" customHeight="1">
      <c r="D270" s="155"/>
      <c r="E270" s="154"/>
    </row>
    <row r="271" spans="4:5" ht="32.1" hidden="1" customHeight="1">
      <c r="D271" s="155"/>
      <c r="E271" s="154"/>
    </row>
    <row r="272" spans="4:5" ht="32.1" hidden="1" customHeight="1">
      <c r="D272" s="155"/>
      <c r="E272" s="154"/>
    </row>
    <row r="273" spans="4:5" ht="32.1" hidden="1" customHeight="1">
      <c r="D273" s="155"/>
      <c r="E273" s="154"/>
    </row>
    <row r="274" spans="4:5" ht="32.1" hidden="1" customHeight="1">
      <c r="D274" s="155"/>
      <c r="E274" s="154"/>
    </row>
    <row r="275" spans="4:5" ht="32.1" hidden="1" customHeight="1">
      <c r="D275" s="155"/>
      <c r="E275" s="154"/>
    </row>
    <row r="276" spans="4:5" ht="32.1" hidden="1" customHeight="1">
      <c r="D276" s="155"/>
      <c r="E276" s="154"/>
    </row>
    <row r="277" spans="4:5" ht="32.1" hidden="1" customHeight="1">
      <c r="D277" s="155"/>
      <c r="E277" s="154"/>
    </row>
    <row r="278" spans="4:5" ht="32.1" hidden="1" customHeight="1">
      <c r="D278" s="155"/>
      <c r="E278" s="154"/>
    </row>
    <row r="279" spans="4:5" ht="32.1" hidden="1" customHeight="1">
      <c r="D279" s="155"/>
      <c r="E279" s="154"/>
    </row>
    <row r="280" spans="4:5" ht="32.1" hidden="1" customHeight="1">
      <c r="D280" s="155"/>
      <c r="E280" s="154"/>
    </row>
    <row r="281" spans="4:5" ht="32.1" hidden="1" customHeight="1">
      <c r="D281" s="155"/>
      <c r="E281" s="154"/>
    </row>
    <row r="282" spans="4:5" ht="32.1" hidden="1" customHeight="1">
      <c r="D282" s="155"/>
      <c r="E282" s="154"/>
    </row>
    <row r="283" spans="4:5" ht="32.1" hidden="1" customHeight="1">
      <c r="D283" s="155"/>
      <c r="E283" s="154"/>
    </row>
    <row r="284" spans="4:5" ht="32.1" hidden="1" customHeight="1">
      <c r="D284" s="155"/>
      <c r="E284" s="154"/>
    </row>
    <row r="285" spans="4:5" ht="32.1" hidden="1" customHeight="1">
      <c r="D285" s="155"/>
      <c r="E285" s="154"/>
    </row>
    <row r="286" spans="4:5" ht="32.1" hidden="1" customHeight="1">
      <c r="D286" s="155"/>
      <c r="E286" s="154"/>
    </row>
    <row r="287" spans="4:5" ht="32.1" hidden="1" customHeight="1">
      <c r="D287" s="155"/>
      <c r="E287" s="154"/>
    </row>
    <row r="288" spans="4:5" ht="32.1" hidden="1" customHeight="1">
      <c r="D288" s="155"/>
      <c r="E288" s="154"/>
    </row>
    <row r="289" spans="4:5" ht="32.1" hidden="1" customHeight="1">
      <c r="D289" s="155"/>
      <c r="E289" s="154"/>
    </row>
    <row r="290" spans="4:5" ht="32.1" hidden="1" customHeight="1">
      <c r="D290" s="155"/>
      <c r="E290" s="154"/>
    </row>
    <row r="291" spans="4:5" ht="32.1" hidden="1" customHeight="1">
      <c r="D291" s="155"/>
      <c r="E291" s="154"/>
    </row>
    <row r="292" spans="4:5" ht="32.1" hidden="1" customHeight="1">
      <c r="D292" s="155"/>
      <c r="E292" s="154"/>
    </row>
    <row r="293" spans="4:5" ht="32.1" hidden="1" customHeight="1">
      <c r="D293" s="155"/>
      <c r="E293" s="154"/>
    </row>
    <row r="294" spans="4:5" ht="32.1" hidden="1" customHeight="1">
      <c r="D294" s="155"/>
      <c r="E294" s="154"/>
    </row>
    <row r="295" spans="4:5" ht="32.1" hidden="1" customHeight="1">
      <c r="D295" s="155"/>
      <c r="E295" s="154"/>
    </row>
    <row r="296" spans="4:5" ht="32.1" hidden="1" customHeight="1">
      <c r="D296" s="155"/>
      <c r="E296" s="154"/>
    </row>
    <row r="297" spans="4:5" ht="32.1" hidden="1" customHeight="1">
      <c r="D297" s="155"/>
      <c r="E297" s="154"/>
    </row>
    <row r="298" spans="4:5" ht="32.1" hidden="1" customHeight="1">
      <c r="D298" s="155"/>
      <c r="E298" s="154"/>
    </row>
    <row r="299" spans="4:5" ht="32.1" hidden="1" customHeight="1">
      <c r="D299" s="155"/>
      <c r="E299" s="154"/>
    </row>
    <row r="300" spans="4:5" ht="32.1" hidden="1" customHeight="1">
      <c r="D300" s="155"/>
      <c r="E300" s="154"/>
    </row>
    <row r="301" spans="4:5" ht="32.1" hidden="1" customHeight="1">
      <c r="D301" s="155"/>
      <c r="E301" s="154"/>
    </row>
    <row r="302" spans="4:5" ht="32.1" hidden="1" customHeight="1">
      <c r="D302" s="155"/>
      <c r="E302" s="154"/>
    </row>
    <row r="303" spans="4:5" ht="32.1" hidden="1" customHeight="1">
      <c r="D303" s="155"/>
      <c r="E303" s="154"/>
    </row>
    <row r="304" spans="4:5" ht="32.1" hidden="1" customHeight="1">
      <c r="D304" s="155"/>
      <c r="E304" s="154"/>
    </row>
    <row r="305" spans="4:5" ht="32.1" hidden="1" customHeight="1">
      <c r="D305" s="155"/>
      <c r="E305" s="154"/>
    </row>
    <row r="306" spans="4:5" ht="32.1" hidden="1" customHeight="1">
      <c r="D306" s="155"/>
      <c r="E306" s="154"/>
    </row>
    <row r="307" spans="4:5" ht="32.1" hidden="1" customHeight="1">
      <c r="D307" s="155"/>
      <c r="E307" s="154"/>
    </row>
    <row r="308" spans="4:5" ht="32.1" hidden="1" customHeight="1">
      <c r="D308" s="155"/>
      <c r="E308" s="154"/>
    </row>
    <row r="309" spans="4:5" ht="32.1" hidden="1" customHeight="1">
      <c r="D309" s="155"/>
      <c r="E309" s="154"/>
    </row>
    <row r="310" spans="4:5" ht="32.1" hidden="1" customHeight="1">
      <c r="D310" s="155"/>
      <c r="E310" s="154"/>
    </row>
    <row r="311" spans="4:5" ht="32.1" hidden="1" customHeight="1">
      <c r="D311" s="155"/>
      <c r="E311" s="154"/>
    </row>
    <row r="312" spans="4:5" ht="32.1" hidden="1" customHeight="1">
      <c r="D312" s="155"/>
      <c r="E312" s="154"/>
    </row>
    <row r="313" spans="4:5" ht="32.1" hidden="1" customHeight="1">
      <c r="D313" s="155"/>
      <c r="E313" s="154"/>
    </row>
    <row r="314" spans="4:5" ht="32.1" hidden="1" customHeight="1">
      <c r="D314" s="155"/>
      <c r="E314" s="154"/>
    </row>
    <row r="315" spans="4:5" ht="32.1" hidden="1" customHeight="1">
      <c r="D315" s="155"/>
      <c r="E315" s="154"/>
    </row>
    <row r="316" spans="4:5" ht="32.1" hidden="1" customHeight="1">
      <c r="D316" s="155"/>
      <c r="E316" s="154"/>
    </row>
    <row r="317" spans="4:5" ht="32.1" hidden="1" customHeight="1">
      <c r="D317" s="155"/>
      <c r="E317" s="154"/>
    </row>
    <row r="318" spans="4:5" ht="32.1" hidden="1" customHeight="1">
      <c r="D318" s="155"/>
      <c r="E318" s="154"/>
    </row>
    <row r="319" spans="4:5" ht="32.1" hidden="1" customHeight="1">
      <c r="D319" s="155"/>
      <c r="E319" s="154"/>
    </row>
    <row r="320" spans="4:5" ht="32.1" hidden="1" customHeight="1">
      <c r="D320" s="155"/>
      <c r="E320" s="154"/>
    </row>
    <row r="321" spans="4:5" ht="32.1" hidden="1" customHeight="1">
      <c r="D321" s="155"/>
      <c r="E321" s="154"/>
    </row>
    <row r="322" spans="4:5" ht="32.1" hidden="1" customHeight="1">
      <c r="D322" s="155"/>
      <c r="E322" s="154"/>
    </row>
    <row r="323" spans="4:5" ht="32.1" hidden="1" customHeight="1">
      <c r="D323" s="155"/>
      <c r="E323" s="154"/>
    </row>
    <row r="324" spans="4:5" ht="32.1" hidden="1" customHeight="1">
      <c r="D324" s="155"/>
      <c r="E324" s="154"/>
    </row>
    <row r="325" spans="4:5" ht="32.1" hidden="1" customHeight="1">
      <c r="D325" s="155"/>
      <c r="E325" s="154"/>
    </row>
    <row r="326" spans="4:5" ht="32.1" hidden="1" customHeight="1">
      <c r="D326" s="155"/>
      <c r="E326" s="154"/>
    </row>
    <row r="327" spans="4:5" ht="32.1" hidden="1" customHeight="1">
      <c r="D327" s="155"/>
      <c r="E327" s="154"/>
    </row>
    <row r="328" spans="4:5" ht="32.1" hidden="1" customHeight="1">
      <c r="D328" s="155"/>
      <c r="E328" s="154"/>
    </row>
    <row r="329" spans="4:5" ht="32.1" hidden="1" customHeight="1">
      <c r="D329" s="155"/>
      <c r="E329" s="154"/>
    </row>
    <row r="330" spans="4:5" ht="32.1" hidden="1" customHeight="1">
      <c r="D330" s="155"/>
      <c r="E330" s="154"/>
    </row>
    <row r="331" spans="4:5" ht="32.1" hidden="1" customHeight="1">
      <c r="D331" s="155"/>
      <c r="E331" s="154"/>
    </row>
    <row r="332" spans="4:5" ht="32.1" hidden="1" customHeight="1">
      <c r="D332" s="155"/>
      <c r="E332" s="154"/>
    </row>
    <row r="333" spans="4:5" ht="32.1" hidden="1" customHeight="1">
      <c r="D333" s="155"/>
      <c r="E333" s="154"/>
    </row>
    <row r="334" spans="4:5" ht="32.1" hidden="1" customHeight="1">
      <c r="D334" s="155"/>
      <c r="E334" s="154"/>
    </row>
    <row r="335" spans="4:5" ht="32.1" hidden="1" customHeight="1">
      <c r="D335" s="155"/>
      <c r="E335" s="154"/>
    </row>
    <row r="336" spans="4:5" ht="32.1" hidden="1" customHeight="1">
      <c r="D336" s="155"/>
      <c r="E336" s="154"/>
    </row>
    <row r="337" spans="4:5" ht="32.1" hidden="1" customHeight="1">
      <c r="D337" s="155"/>
      <c r="E337" s="154"/>
    </row>
    <row r="338" spans="4:5" ht="32.1" hidden="1" customHeight="1">
      <c r="D338" s="155"/>
      <c r="E338" s="154"/>
    </row>
    <row r="339" spans="4:5" ht="32.1" hidden="1" customHeight="1">
      <c r="D339" s="155"/>
      <c r="E339" s="154"/>
    </row>
    <row r="340" spans="4:5" ht="32.1" hidden="1" customHeight="1">
      <c r="D340" s="155"/>
      <c r="E340" s="154"/>
    </row>
    <row r="341" spans="4:5" ht="32.1" hidden="1" customHeight="1">
      <c r="D341" s="155"/>
      <c r="E341" s="154"/>
    </row>
    <row r="342" spans="4:5" ht="32.1" hidden="1" customHeight="1">
      <c r="D342" s="155"/>
      <c r="E342" s="154"/>
    </row>
    <row r="343" spans="4:5" ht="32.1" hidden="1" customHeight="1">
      <c r="D343" s="155"/>
      <c r="E343" s="154"/>
    </row>
    <row r="344" spans="4:5" ht="32.1" hidden="1" customHeight="1">
      <c r="D344" s="155"/>
      <c r="E344" s="154"/>
    </row>
    <row r="345" spans="4:5" ht="32.1" hidden="1" customHeight="1">
      <c r="D345" s="155"/>
      <c r="E345" s="154"/>
    </row>
    <row r="346" spans="4:5" ht="32.1" hidden="1" customHeight="1">
      <c r="D346" s="155"/>
      <c r="E346" s="154"/>
    </row>
    <row r="347" spans="4:5" ht="32.1" hidden="1" customHeight="1">
      <c r="D347" s="155"/>
      <c r="E347" s="154"/>
    </row>
    <row r="348" spans="4:5" ht="32.1" hidden="1" customHeight="1">
      <c r="D348" s="155"/>
      <c r="E348" s="154"/>
    </row>
    <row r="349" spans="4:5" ht="32.1" hidden="1" customHeight="1">
      <c r="D349" s="155"/>
      <c r="E349" s="154"/>
    </row>
    <row r="350" spans="4:5" ht="32.1" hidden="1" customHeight="1">
      <c r="D350" s="155"/>
      <c r="E350" s="154"/>
    </row>
    <row r="351" spans="4:5" ht="32.1" hidden="1" customHeight="1">
      <c r="D351" s="155"/>
      <c r="E351" s="154"/>
    </row>
    <row r="352" spans="4:5" ht="32.1" hidden="1" customHeight="1">
      <c r="D352" s="155"/>
      <c r="E352" s="154"/>
    </row>
    <row r="353" spans="4:5" ht="32.1" hidden="1" customHeight="1">
      <c r="D353" s="155"/>
      <c r="E353" s="154"/>
    </row>
    <row r="354" spans="4:5" ht="32.1" hidden="1" customHeight="1">
      <c r="D354" s="155"/>
      <c r="E354" s="154"/>
    </row>
    <row r="355" spans="4:5" ht="32.1" hidden="1" customHeight="1">
      <c r="D355" s="155"/>
      <c r="E355" s="154"/>
    </row>
    <row r="356" spans="4:5" ht="32.1" hidden="1" customHeight="1">
      <c r="D356" s="155"/>
      <c r="E356" s="154"/>
    </row>
    <row r="357" spans="4:5" ht="32.1" hidden="1" customHeight="1">
      <c r="D357" s="155"/>
      <c r="E357" s="154"/>
    </row>
    <row r="358" spans="4:5" ht="32.1" hidden="1" customHeight="1">
      <c r="D358" s="155"/>
      <c r="E358" s="154"/>
    </row>
    <row r="359" spans="4:5" ht="32.1" hidden="1" customHeight="1">
      <c r="D359" s="155"/>
      <c r="E359" s="154"/>
    </row>
    <row r="360" spans="4:5" ht="32.1" hidden="1" customHeight="1">
      <c r="D360" s="155"/>
      <c r="E360" s="154"/>
    </row>
    <row r="361" spans="4:5" ht="32.1" hidden="1" customHeight="1">
      <c r="D361" s="155"/>
      <c r="E361" s="154"/>
    </row>
    <row r="362" spans="4:5" ht="32.1" hidden="1" customHeight="1">
      <c r="D362" s="155"/>
      <c r="E362" s="154"/>
    </row>
    <row r="363" spans="4:5" ht="32.1" hidden="1" customHeight="1">
      <c r="D363" s="155"/>
      <c r="E363" s="154"/>
    </row>
    <row r="364" spans="4:5" ht="32.1" hidden="1" customHeight="1">
      <c r="D364" s="155"/>
      <c r="E364" s="154"/>
    </row>
    <row r="365" spans="4:5" ht="32.1" hidden="1" customHeight="1">
      <c r="D365" s="155"/>
      <c r="E365" s="154"/>
    </row>
    <row r="366" spans="4:5" ht="32.1" hidden="1" customHeight="1">
      <c r="D366" s="155"/>
      <c r="E366" s="154"/>
    </row>
    <row r="367" spans="4:5" ht="32.1" hidden="1" customHeight="1">
      <c r="D367" s="155"/>
      <c r="E367" s="154"/>
    </row>
    <row r="368" spans="4:5" ht="32.1" hidden="1" customHeight="1">
      <c r="D368" s="155"/>
      <c r="E368" s="154"/>
    </row>
    <row r="369" spans="4:5" ht="32.1" hidden="1" customHeight="1">
      <c r="D369" s="155"/>
      <c r="E369" s="154"/>
    </row>
    <row r="370" spans="4:5" ht="32.1" hidden="1" customHeight="1">
      <c r="D370" s="155"/>
      <c r="E370" s="154"/>
    </row>
    <row r="371" spans="4:5" ht="32.1" hidden="1" customHeight="1">
      <c r="D371" s="155"/>
      <c r="E371" s="154"/>
    </row>
    <row r="372" spans="4:5" ht="32.1" hidden="1" customHeight="1">
      <c r="D372" s="155"/>
      <c r="E372" s="154"/>
    </row>
    <row r="373" spans="4:5" ht="32.1" hidden="1" customHeight="1">
      <c r="D373" s="155"/>
      <c r="E373" s="154"/>
    </row>
    <row r="374" spans="4:5" ht="32.1" hidden="1" customHeight="1">
      <c r="D374" s="155"/>
      <c r="E374" s="154"/>
    </row>
    <row r="375" spans="4:5" ht="32.1" hidden="1" customHeight="1">
      <c r="D375" s="155"/>
      <c r="E375" s="154"/>
    </row>
    <row r="376" spans="4:5" ht="32.1" hidden="1" customHeight="1">
      <c r="D376" s="155"/>
      <c r="E376" s="154"/>
    </row>
    <row r="377" spans="4:5" ht="32.1" hidden="1" customHeight="1">
      <c r="D377" s="155"/>
      <c r="E377" s="154"/>
    </row>
    <row r="378" spans="4:5" ht="32.1" hidden="1" customHeight="1">
      <c r="D378" s="155"/>
      <c r="E378" s="154"/>
    </row>
    <row r="379" spans="4:5" ht="32.1" hidden="1" customHeight="1">
      <c r="D379" s="155"/>
      <c r="E379" s="154"/>
    </row>
    <row r="380" spans="4:5" ht="32.1" hidden="1" customHeight="1">
      <c r="D380" s="155"/>
      <c r="E380" s="154"/>
    </row>
    <row r="381" spans="4:5" ht="32.1" hidden="1" customHeight="1">
      <c r="D381" s="155"/>
      <c r="E381" s="154"/>
    </row>
    <row r="382" spans="4:5" ht="32.1" hidden="1" customHeight="1">
      <c r="D382" s="155"/>
      <c r="E382" s="154"/>
    </row>
    <row r="383" spans="4:5" ht="32.1" hidden="1" customHeight="1">
      <c r="D383" s="155"/>
      <c r="E383" s="154"/>
    </row>
    <row r="384" spans="4:5" ht="32.1" hidden="1" customHeight="1">
      <c r="D384" s="155"/>
      <c r="E384" s="154"/>
    </row>
    <row r="385" spans="4:5" ht="32.1" hidden="1" customHeight="1">
      <c r="D385" s="155"/>
      <c r="E385" s="154"/>
    </row>
    <row r="386" spans="4:5" ht="32.1" hidden="1" customHeight="1">
      <c r="D386" s="155"/>
      <c r="E386" s="154"/>
    </row>
    <row r="387" spans="4:5" ht="32.1" hidden="1" customHeight="1">
      <c r="D387" s="155"/>
      <c r="E387" s="154"/>
    </row>
    <row r="388" spans="4:5" ht="32.1" hidden="1" customHeight="1">
      <c r="D388" s="155"/>
      <c r="E388" s="154"/>
    </row>
    <row r="389" spans="4:5" ht="32.1" hidden="1" customHeight="1">
      <c r="D389" s="155"/>
      <c r="E389" s="154"/>
    </row>
    <row r="390" spans="4:5" ht="32.1" hidden="1" customHeight="1">
      <c r="D390" s="155"/>
      <c r="E390" s="154"/>
    </row>
    <row r="391" spans="4:5" ht="32.1" hidden="1" customHeight="1">
      <c r="D391" s="155"/>
      <c r="E391" s="154"/>
    </row>
    <row r="392" spans="4:5" ht="32.1" hidden="1" customHeight="1">
      <c r="D392" s="155"/>
      <c r="E392" s="154"/>
    </row>
    <row r="393" spans="4:5" ht="32.1" hidden="1" customHeight="1">
      <c r="D393" s="155"/>
      <c r="E393" s="154"/>
    </row>
    <row r="394" spans="4:5" ht="32.1" hidden="1" customHeight="1">
      <c r="D394" s="155"/>
      <c r="E394" s="154"/>
    </row>
    <row r="395" spans="4:5" ht="32.1" hidden="1" customHeight="1">
      <c r="D395" s="155"/>
      <c r="E395" s="154"/>
    </row>
    <row r="396" spans="4:5" ht="32.1" hidden="1" customHeight="1">
      <c r="D396" s="155"/>
      <c r="E396" s="154"/>
    </row>
    <row r="397" spans="4:5" ht="32.1" hidden="1" customHeight="1">
      <c r="D397" s="155"/>
      <c r="E397" s="154"/>
    </row>
    <row r="398" spans="4:5" ht="32.1" hidden="1" customHeight="1">
      <c r="D398" s="155"/>
      <c r="E398" s="154"/>
    </row>
    <row r="399" spans="4:5" ht="32.1" hidden="1" customHeight="1">
      <c r="D399" s="155"/>
      <c r="E399" s="154"/>
    </row>
    <row r="400" spans="4:5" ht="32.1" hidden="1" customHeight="1">
      <c r="D400" s="155"/>
      <c r="E400" s="154"/>
    </row>
    <row r="401" spans="4:5" ht="32.1" hidden="1" customHeight="1">
      <c r="D401" s="155"/>
      <c r="E401" s="154"/>
    </row>
    <row r="402" spans="4:5" ht="32.1" hidden="1" customHeight="1">
      <c r="D402" s="155"/>
      <c r="E402" s="154"/>
    </row>
    <row r="403" spans="4:5" ht="32.1" hidden="1" customHeight="1">
      <c r="D403" s="155"/>
      <c r="E403" s="154"/>
    </row>
    <row r="404" spans="4:5" ht="32.1" hidden="1" customHeight="1">
      <c r="D404" s="155"/>
      <c r="E404" s="154"/>
    </row>
    <row r="405" spans="4:5" ht="32.1" hidden="1" customHeight="1">
      <c r="D405" s="155"/>
      <c r="E405" s="154"/>
    </row>
    <row r="406" spans="4:5" ht="32.1" hidden="1" customHeight="1">
      <c r="D406" s="155"/>
      <c r="E406" s="154"/>
    </row>
    <row r="407" spans="4:5" ht="32.1" hidden="1" customHeight="1">
      <c r="D407" s="155"/>
      <c r="E407" s="154"/>
    </row>
    <row r="408" spans="4:5" ht="32.1" hidden="1" customHeight="1">
      <c r="D408" s="155"/>
      <c r="E408" s="154"/>
    </row>
    <row r="409" spans="4:5" ht="32.1" hidden="1" customHeight="1">
      <c r="D409" s="155"/>
      <c r="E409" s="154"/>
    </row>
    <row r="410" spans="4:5" ht="32.1" hidden="1" customHeight="1">
      <c r="D410" s="155"/>
      <c r="E410" s="154"/>
    </row>
    <row r="411" spans="4:5" ht="32.1" hidden="1" customHeight="1">
      <c r="D411" s="155"/>
      <c r="E411" s="154"/>
    </row>
    <row r="412" spans="4:5" ht="32.1" hidden="1" customHeight="1">
      <c r="D412" s="155"/>
      <c r="E412" s="154"/>
    </row>
    <row r="413" spans="4:5" ht="32.1" hidden="1" customHeight="1">
      <c r="D413" s="155"/>
      <c r="E413" s="154"/>
    </row>
    <row r="414" spans="4:5" ht="32.1" hidden="1" customHeight="1">
      <c r="D414" s="155"/>
      <c r="E414" s="154"/>
    </row>
    <row r="415" spans="4:5" ht="32.1" hidden="1" customHeight="1">
      <c r="D415" s="155"/>
      <c r="E415" s="154"/>
    </row>
    <row r="416" spans="4:5" ht="32.1" hidden="1" customHeight="1">
      <c r="D416" s="155"/>
      <c r="E416" s="154"/>
    </row>
    <row r="417" spans="4:5" ht="32.1" hidden="1" customHeight="1">
      <c r="D417" s="155"/>
      <c r="E417" s="154"/>
    </row>
    <row r="418" spans="4:5" ht="32.1" hidden="1" customHeight="1">
      <c r="D418" s="155"/>
      <c r="E418" s="154"/>
    </row>
    <row r="419" spans="4:5" ht="32.1" hidden="1" customHeight="1">
      <c r="D419" s="155"/>
      <c r="E419" s="154"/>
    </row>
    <row r="420" spans="4:5" ht="32.1" hidden="1" customHeight="1">
      <c r="D420" s="155"/>
      <c r="E420" s="154"/>
    </row>
    <row r="421" spans="4:5" ht="32.1" hidden="1" customHeight="1">
      <c r="D421" s="155"/>
      <c r="E421" s="154"/>
    </row>
    <row r="422" spans="4:5" ht="32.1" hidden="1" customHeight="1">
      <c r="D422" s="155"/>
      <c r="E422" s="154"/>
    </row>
    <row r="423" spans="4:5" ht="32.1" hidden="1" customHeight="1">
      <c r="D423" s="155"/>
      <c r="E423" s="154"/>
    </row>
    <row r="424" spans="4:5" ht="32.1" hidden="1" customHeight="1">
      <c r="D424" s="155"/>
      <c r="E424" s="154"/>
    </row>
    <row r="425" spans="4:5" ht="32.1" hidden="1" customHeight="1">
      <c r="D425" s="155"/>
      <c r="E425" s="154"/>
    </row>
    <row r="426" spans="4:5" ht="32.1" hidden="1" customHeight="1">
      <c r="D426" s="155"/>
      <c r="E426" s="154"/>
    </row>
    <row r="427" spans="4:5" ht="32.1" hidden="1" customHeight="1">
      <c r="D427" s="155"/>
      <c r="E427" s="154"/>
    </row>
    <row r="428" spans="4:5" ht="32.1" hidden="1" customHeight="1">
      <c r="D428" s="155"/>
      <c r="E428" s="154"/>
    </row>
    <row r="429" spans="4:5" ht="32.1" hidden="1" customHeight="1">
      <c r="D429" s="155"/>
      <c r="E429" s="154"/>
    </row>
    <row r="430" spans="4:5" ht="32.1" hidden="1" customHeight="1">
      <c r="D430" s="155"/>
      <c r="E430" s="154"/>
    </row>
    <row r="431" spans="4:5" ht="32.1" hidden="1" customHeight="1">
      <c r="D431" s="155"/>
      <c r="E431" s="154"/>
    </row>
    <row r="432" spans="4:5" ht="32.1" hidden="1" customHeight="1">
      <c r="D432" s="155"/>
      <c r="E432" s="154"/>
    </row>
    <row r="433" spans="4:5" ht="32.1" hidden="1" customHeight="1">
      <c r="D433" s="155"/>
      <c r="E433" s="154"/>
    </row>
    <row r="434" spans="4:5" ht="32.1" hidden="1" customHeight="1">
      <c r="D434" s="155"/>
      <c r="E434" s="154"/>
    </row>
    <row r="435" spans="4:5" ht="32.1" hidden="1" customHeight="1">
      <c r="D435" s="155"/>
      <c r="E435" s="154"/>
    </row>
    <row r="436" spans="4:5" ht="32.1" hidden="1" customHeight="1">
      <c r="D436" s="155"/>
      <c r="E436" s="154"/>
    </row>
    <row r="437" spans="4:5" ht="32.1" hidden="1" customHeight="1">
      <c r="D437" s="155"/>
      <c r="E437" s="154"/>
    </row>
    <row r="438" spans="4:5" ht="32.1" hidden="1" customHeight="1">
      <c r="D438" s="155"/>
      <c r="E438" s="154"/>
    </row>
    <row r="439" spans="4:5" ht="32.1" hidden="1" customHeight="1">
      <c r="D439" s="155"/>
      <c r="E439" s="154"/>
    </row>
    <row r="440" spans="4:5" ht="32.1" hidden="1" customHeight="1">
      <c r="D440" s="155"/>
      <c r="E440" s="154"/>
    </row>
    <row r="441" spans="4:5" ht="32.1" hidden="1" customHeight="1">
      <c r="D441" s="155"/>
      <c r="E441" s="154"/>
    </row>
    <row r="442" spans="4:5" ht="32.1" hidden="1" customHeight="1">
      <c r="D442" s="155"/>
      <c r="E442" s="154"/>
    </row>
    <row r="443" spans="4:5" ht="32.1" hidden="1" customHeight="1">
      <c r="D443" s="155"/>
      <c r="E443" s="154"/>
    </row>
    <row r="444" spans="4:5" ht="32.1" hidden="1" customHeight="1">
      <c r="D444" s="155"/>
      <c r="E444" s="154"/>
    </row>
    <row r="445" spans="4:5" ht="32.1" hidden="1" customHeight="1">
      <c r="D445" s="155"/>
      <c r="E445" s="154"/>
    </row>
    <row r="446" spans="4:5" ht="32.1" hidden="1" customHeight="1">
      <c r="D446" s="155"/>
      <c r="E446" s="154"/>
    </row>
    <row r="447" spans="4:5" ht="32.1" hidden="1" customHeight="1">
      <c r="D447" s="155"/>
      <c r="E447" s="154"/>
    </row>
    <row r="448" spans="4:5" ht="32.1" hidden="1" customHeight="1">
      <c r="D448" s="155"/>
      <c r="E448" s="154"/>
    </row>
    <row r="449" spans="4:5" ht="32.1" hidden="1" customHeight="1">
      <c r="D449" s="155"/>
      <c r="E449" s="154"/>
    </row>
    <row r="450" spans="4:5" ht="32.1" hidden="1" customHeight="1">
      <c r="D450" s="155"/>
      <c r="E450" s="154"/>
    </row>
    <row r="451" spans="4:5" ht="32.1" hidden="1" customHeight="1">
      <c r="D451" s="155"/>
      <c r="E451" s="154"/>
    </row>
    <row r="452" spans="4:5" ht="32.1" hidden="1" customHeight="1">
      <c r="D452" s="155"/>
      <c r="E452" s="154"/>
    </row>
    <row r="453" spans="4:5" ht="32.1" hidden="1" customHeight="1">
      <c r="D453" s="155"/>
      <c r="E453" s="154"/>
    </row>
    <row r="454" spans="4:5" ht="32.1" hidden="1" customHeight="1">
      <c r="D454" s="155"/>
      <c r="E454" s="154"/>
    </row>
    <row r="455" spans="4:5" ht="32.1" hidden="1" customHeight="1">
      <c r="D455" s="155"/>
      <c r="E455" s="154"/>
    </row>
    <row r="456" spans="4:5" ht="32.1" hidden="1" customHeight="1">
      <c r="D456" s="155"/>
      <c r="E456" s="154"/>
    </row>
    <row r="457" spans="4:5" ht="32.1" hidden="1" customHeight="1">
      <c r="D457" s="155"/>
      <c r="E457" s="154"/>
    </row>
    <row r="458" spans="4:5" ht="32.1" hidden="1" customHeight="1">
      <c r="D458" s="155"/>
      <c r="E458" s="154"/>
    </row>
    <row r="459" spans="4:5" ht="32.1" hidden="1" customHeight="1">
      <c r="D459" s="155"/>
      <c r="E459" s="154"/>
    </row>
    <row r="460" spans="4:5" ht="32.1" hidden="1" customHeight="1">
      <c r="D460" s="155"/>
      <c r="E460" s="154"/>
    </row>
    <row r="461" spans="4:5" ht="32.1" hidden="1" customHeight="1">
      <c r="D461" s="155"/>
      <c r="E461" s="154"/>
    </row>
    <row r="462" spans="4:5" ht="32.1" hidden="1" customHeight="1">
      <c r="D462" s="155"/>
      <c r="E462" s="154"/>
    </row>
    <row r="463" spans="4:5" ht="32.1" hidden="1" customHeight="1">
      <c r="D463" s="155"/>
      <c r="E463" s="154"/>
    </row>
    <row r="464" spans="4:5" ht="32.1" hidden="1" customHeight="1">
      <c r="D464" s="155"/>
      <c r="E464" s="154"/>
    </row>
    <row r="465" spans="4:5" ht="32.1" hidden="1" customHeight="1">
      <c r="D465" s="155"/>
      <c r="E465" s="154"/>
    </row>
    <row r="466" spans="4:5" ht="32.1" hidden="1" customHeight="1">
      <c r="D466" s="155"/>
      <c r="E466" s="154"/>
    </row>
    <row r="467" spans="4:5" ht="32.1" hidden="1" customHeight="1">
      <c r="D467" s="155"/>
      <c r="E467" s="154"/>
    </row>
    <row r="468" spans="4:5" ht="32.1" hidden="1" customHeight="1">
      <c r="D468" s="155"/>
      <c r="E468" s="154"/>
    </row>
    <row r="469" spans="4:5" ht="32.1" hidden="1" customHeight="1">
      <c r="D469" s="155"/>
      <c r="E469" s="154"/>
    </row>
    <row r="470" spans="4:5" ht="32.1" hidden="1" customHeight="1">
      <c r="D470" s="155"/>
      <c r="E470" s="154"/>
    </row>
    <row r="471" spans="4:5" ht="32.1" hidden="1" customHeight="1">
      <c r="D471" s="155"/>
      <c r="E471" s="154"/>
    </row>
    <row r="472" spans="4:5" ht="32.1" hidden="1" customHeight="1">
      <c r="D472" s="155"/>
      <c r="E472" s="154"/>
    </row>
    <row r="473" spans="4:5" ht="32.1" hidden="1" customHeight="1">
      <c r="D473" s="155"/>
      <c r="E473" s="154"/>
    </row>
    <row r="474" spans="4:5" ht="32.1" hidden="1" customHeight="1">
      <c r="D474" s="155"/>
      <c r="E474" s="154"/>
    </row>
    <row r="475" spans="4:5" ht="32.1" hidden="1" customHeight="1">
      <c r="D475" s="155"/>
      <c r="E475" s="154"/>
    </row>
    <row r="476" spans="4:5" ht="32.1" hidden="1" customHeight="1">
      <c r="D476" s="155"/>
      <c r="E476" s="154"/>
    </row>
    <row r="477" spans="4:5" ht="32.1" hidden="1" customHeight="1">
      <c r="D477" s="155"/>
      <c r="E477" s="154"/>
    </row>
    <row r="478" spans="4:5" ht="32.1" hidden="1" customHeight="1">
      <c r="D478" s="155"/>
      <c r="E478" s="154"/>
    </row>
    <row r="479" spans="4:5" ht="32.1" hidden="1" customHeight="1">
      <c r="D479" s="155"/>
      <c r="E479" s="154"/>
    </row>
    <row r="480" spans="4:5" ht="32.1" hidden="1" customHeight="1">
      <c r="D480" s="155"/>
      <c r="E480" s="154"/>
    </row>
    <row r="481" spans="4:5" ht="32.1" hidden="1" customHeight="1">
      <c r="D481" s="155"/>
      <c r="E481" s="154"/>
    </row>
    <row r="482" spans="4:5" ht="32.1" hidden="1" customHeight="1">
      <c r="D482" s="155"/>
      <c r="E482" s="154"/>
    </row>
    <row r="483" spans="4:5" ht="32.1" hidden="1" customHeight="1">
      <c r="D483" s="155"/>
      <c r="E483" s="154"/>
    </row>
    <row r="484" spans="4:5" ht="32.1" hidden="1" customHeight="1">
      <c r="D484" s="155"/>
      <c r="E484" s="154"/>
    </row>
    <row r="485" spans="4:5" ht="32.1" hidden="1" customHeight="1">
      <c r="D485" s="155"/>
      <c r="E485" s="154"/>
    </row>
  </sheetData>
  <autoFilter ref="A1:P219"/>
  <mergeCells count="6">
    <mergeCell ref="M1:M2"/>
    <mergeCell ref="A1:A2"/>
    <mergeCell ref="B1:B2"/>
    <mergeCell ref="C1:C2"/>
    <mergeCell ref="D1:D2"/>
    <mergeCell ref="E1:E2"/>
  </mergeCells>
  <phoneticPr fontId="11" type="noConversion"/>
  <printOptions horizontalCentered="1"/>
  <pageMargins left="0.19685039370078741" right="0.19685039370078741" top="1.3779527559055118" bottom="0.78740157480314965" header="0.78740157480314965" footer="0.19685039370078741"/>
  <pageSetup paperSize="9" orientation="portrait" horizontalDpi="4294967292" r:id="rId1"/>
  <headerFooter alignWithMargins="0">
    <oddHeader>&amp;C&amp;"굴림,굵게"&amp;18용 지 조 서 (&amp;P)&amp;R
&amp;"굴림,굵게"&amp;10세종시 조치원읍 신흥리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S30"/>
  <sheetViews>
    <sheetView showGridLines="0" showZeros="0" view="pageBreakPreview" workbookViewId="0">
      <selection activeCell="N2" sqref="N2"/>
    </sheetView>
  </sheetViews>
  <sheetFormatPr defaultRowHeight="12"/>
  <cols>
    <col min="1" max="1" width="7.88671875" style="140" customWidth="1"/>
    <col min="2" max="2" width="6.77734375" style="95" customWidth="1"/>
    <col min="3" max="3" width="1.33203125" style="95" customWidth="1"/>
    <col min="4" max="4" width="7.77734375" style="95" customWidth="1"/>
    <col min="5" max="5" width="6.77734375" style="95" customWidth="1"/>
    <col min="6" max="6" width="1.33203125" style="95" customWidth="1"/>
    <col min="7" max="7" width="7.77734375" style="95" customWidth="1"/>
    <col min="8" max="8" width="6.77734375" style="95" customWidth="1"/>
    <col min="9" max="9" width="1.33203125" style="95" customWidth="1"/>
    <col min="10" max="10" width="7.77734375" style="95" customWidth="1"/>
    <col min="11" max="11" width="6.77734375" style="95" customWidth="1"/>
    <col min="12" max="12" width="1.33203125" style="95" customWidth="1"/>
    <col min="13" max="14" width="7.77734375" style="95" customWidth="1"/>
    <col min="15" max="16" width="8.33203125" style="184" customWidth="1"/>
    <col min="17" max="19" width="8.88671875" style="184"/>
    <col min="20" max="16384" width="8.88671875" style="95"/>
  </cols>
  <sheetData>
    <row r="1" spans="1:19" s="139" customFormat="1" ht="30" customHeight="1">
      <c r="A1" s="163" t="s">
        <v>77</v>
      </c>
      <c r="B1" s="96"/>
      <c r="C1" s="96"/>
      <c r="D1" s="94"/>
      <c r="E1" s="94"/>
      <c r="F1" s="96"/>
      <c r="G1" s="96"/>
      <c r="H1" s="94"/>
      <c r="I1" s="96"/>
      <c r="J1" s="96"/>
      <c r="K1" s="96"/>
      <c r="L1" s="96"/>
      <c r="M1" s="96"/>
      <c r="N1" s="96"/>
      <c r="O1" s="74"/>
      <c r="P1" s="74"/>
      <c r="Q1" s="74"/>
      <c r="R1" s="74"/>
      <c r="S1" s="74"/>
    </row>
    <row r="2" spans="1:19" s="142" customFormat="1" ht="15.95" customHeight="1">
      <c r="A2" s="140"/>
      <c r="B2" s="95"/>
      <c r="C2" s="95"/>
      <c r="D2" s="95"/>
      <c r="E2" s="95"/>
      <c r="F2" s="95"/>
      <c r="G2" s="95"/>
      <c r="H2" s="95"/>
      <c r="I2" s="95"/>
      <c r="J2" s="95"/>
      <c r="L2" s="141"/>
      <c r="N2" s="164"/>
      <c r="O2" s="74"/>
      <c r="P2" s="74"/>
      <c r="Q2" s="74"/>
      <c r="R2" s="74"/>
      <c r="S2" s="74"/>
    </row>
    <row r="3" spans="1:19" s="143" customFormat="1" ht="27.95" customHeight="1">
      <c r="A3" s="488" t="s">
        <v>2</v>
      </c>
      <c r="B3" s="165" t="s">
        <v>3</v>
      </c>
      <c r="C3" s="165"/>
      <c r="D3" s="165"/>
      <c r="E3" s="165" t="s">
        <v>80</v>
      </c>
      <c r="F3" s="165"/>
      <c r="G3" s="165"/>
      <c r="H3" s="165" t="s">
        <v>81</v>
      </c>
      <c r="I3" s="165"/>
      <c r="J3" s="165"/>
      <c r="K3" s="165" t="s">
        <v>82</v>
      </c>
      <c r="L3" s="165"/>
      <c r="M3" s="165"/>
      <c r="N3" s="490" t="s">
        <v>22</v>
      </c>
      <c r="O3" s="74"/>
      <c r="P3" s="74"/>
      <c r="Q3" s="74"/>
      <c r="R3" s="74"/>
      <c r="S3" s="74"/>
    </row>
    <row r="4" spans="1:19" s="143" customFormat="1" ht="27.95" customHeight="1">
      <c r="A4" s="489"/>
      <c r="B4" s="169" t="s">
        <v>78</v>
      </c>
      <c r="C4" s="170" t="s">
        <v>5</v>
      </c>
      <c r="D4" s="171" t="s">
        <v>79</v>
      </c>
      <c r="E4" s="169" t="s">
        <v>4</v>
      </c>
      <c r="F4" s="170" t="s">
        <v>5</v>
      </c>
      <c r="G4" s="171" t="s">
        <v>79</v>
      </c>
      <c r="H4" s="169" t="s">
        <v>4</v>
      </c>
      <c r="I4" s="170" t="s">
        <v>5</v>
      </c>
      <c r="J4" s="171" t="s">
        <v>79</v>
      </c>
      <c r="K4" s="169" t="s">
        <v>4</v>
      </c>
      <c r="L4" s="170" t="s">
        <v>5</v>
      </c>
      <c r="M4" s="171" t="s">
        <v>79</v>
      </c>
      <c r="N4" s="491"/>
      <c r="O4" s="74"/>
      <c r="P4" s="74"/>
      <c r="Q4" s="74"/>
      <c r="R4" s="74"/>
      <c r="S4" s="74"/>
    </row>
    <row r="5" spans="1:19" s="143" customFormat="1" ht="23.1" customHeight="1">
      <c r="A5" s="179" t="s">
        <v>3</v>
      </c>
      <c r="B5" s="172">
        <f>SUM(B6:B30)</f>
        <v>0</v>
      </c>
      <c r="C5" s="173" t="s">
        <v>5</v>
      </c>
      <c r="D5" s="174">
        <f>SUM(D6:D30)</f>
        <v>0</v>
      </c>
      <c r="E5" s="172">
        <f>SUM(E6:E30)</f>
        <v>0</v>
      </c>
      <c r="F5" s="173" t="s">
        <v>5</v>
      </c>
      <c r="G5" s="174">
        <f>SUM(G6:G30)</f>
        <v>0</v>
      </c>
      <c r="H5" s="172">
        <f>SUM(H6:H30)</f>
        <v>0</v>
      </c>
      <c r="I5" s="173" t="s">
        <v>5</v>
      </c>
      <c r="J5" s="174">
        <f>SUM(J6:J30)</f>
        <v>0</v>
      </c>
      <c r="K5" s="172">
        <f>SUM(K6:K30)</f>
        <v>0</v>
      </c>
      <c r="L5" s="173" t="s">
        <v>5</v>
      </c>
      <c r="M5" s="174">
        <f>SUM(M6:M30)</f>
        <v>0</v>
      </c>
      <c r="N5" s="168"/>
      <c r="O5" s="74" t="str">
        <f>IF(D5=(G5+J5+M5),"ok","false")</f>
        <v>ok</v>
      </c>
      <c r="P5" s="74"/>
      <c r="Q5" s="74" t="s">
        <v>70</v>
      </c>
      <c r="R5" s="74" t="s">
        <v>71</v>
      </c>
      <c r="S5" s="74" t="s">
        <v>98</v>
      </c>
    </row>
    <row r="6" spans="1:19" s="143" customFormat="1" ht="23.1" customHeight="1">
      <c r="A6" s="180" t="s">
        <v>7</v>
      </c>
      <c r="B6" s="175">
        <f>COUNTIF(죽림리!$C$3:$C$934,P6)</f>
        <v>0</v>
      </c>
      <c r="C6" s="76" t="s">
        <v>5</v>
      </c>
      <c r="D6" s="176">
        <f>SUMIF(죽림리!$C$3:$C$934,P6,죽림리!$E$3:$E$934)</f>
        <v>0</v>
      </c>
      <c r="E6" s="175">
        <f>COUNTIF(죽림리!$P$3:$P$934,Q6)</f>
        <v>0</v>
      </c>
      <c r="F6" s="76" t="s">
        <v>5</v>
      </c>
      <c r="G6" s="176">
        <f>SUMIF(죽림리!$P$3:$P$934,Q6,죽림리!$E$3:$E$934)</f>
        <v>0</v>
      </c>
      <c r="H6" s="175">
        <f>COUNTIF(죽림리!$P$3:$P$934,R6)</f>
        <v>0</v>
      </c>
      <c r="I6" s="76" t="s">
        <v>5</v>
      </c>
      <c r="J6" s="176">
        <f>SUMIF(죽림리!$P$3:$P$934,R6,죽림리!$E$3:$E$934)</f>
        <v>0</v>
      </c>
      <c r="K6" s="175">
        <f>COUNTIF(죽림리!$P$3:$P$934,S6)</f>
        <v>0</v>
      </c>
      <c r="L6" s="76" t="s">
        <v>5</v>
      </c>
      <c r="M6" s="176">
        <f>SUMIF(죽림리!$P$3:$P$934,S6,죽림리!$E$3:$E$934)</f>
        <v>0</v>
      </c>
      <c r="N6" s="166"/>
      <c r="O6" s="74" t="str">
        <f t="shared" ref="O6:O30" si="0">IF(D6=(G6+J6+M6),"ok","false")</f>
        <v>ok</v>
      </c>
      <c r="P6" s="74" t="s">
        <v>62</v>
      </c>
      <c r="Q6" s="183" t="str">
        <f>CONCATENATE($P6,Q$5)</f>
        <v>전국</v>
      </c>
      <c r="R6" s="183" t="str">
        <f t="shared" ref="R6:S21" si="1">CONCATENATE($P6,R$5)</f>
        <v>전공</v>
      </c>
      <c r="S6" s="183" t="str">
        <f t="shared" si="1"/>
        <v>전사</v>
      </c>
    </row>
    <row r="7" spans="1:19" s="143" customFormat="1" ht="23.1" customHeight="1">
      <c r="A7" s="180" t="s">
        <v>8</v>
      </c>
      <c r="B7" s="175">
        <f>COUNTIF(죽림리!$C$3:$C$934,P7)</f>
        <v>0</v>
      </c>
      <c r="C7" s="76" t="s">
        <v>5</v>
      </c>
      <c r="D7" s="176">
        <f>SUMIF(죽림리!$C$3:$C$934,P7,죽림리!$E$3:$E$934)</f>
        <v>0</v>
      </c>
      <c r="E7" s="175">
        <f>COUNTIF(죽림리!$P$3:$P$934,"답국")</f>
        <v>0</v>
      </c>
      <c r="F7" s="76" t="s">
        <v>5</v>
      </c>
      <c r="G7" s="176">
        <f>SUMIF(죽림리!$P$3:$P$934,Q7,죽림리!$E$3:$E$934)</f>
        <v>0</v>
      </c>
      <c r="H7" s="175">
        <f>COUNTIF(죽림리!$P$3:$P$934,R7)</f>
        <v>0</v>
      </c>
      <c r="I7" s="76" t="s">
        <v>5</v>
      </c>
      <c r="J7" s="176">
        <f>SUMIF(죽림리!$P$3:$P$934,R7,죽림리!$E$3:$E$934)</f>
        <v>0</v>
      </c>
      <c r="K7" s="175">
        <f>COUNTIF(죽림리!$P$3:$P$934,S7)</f>
        <v>0</v>
      </c>
      <c r="L7" s="76" t="s">
        <v>5</v>
      </c>
      <c r="M7" s="176">
        <f>SUMIF(죽림리!$P$3:$P$934,S7,죽림리!$E$3:$E$934)</f>
        <v>0</v>
      </c>
      <c r="N7" s="166"/>
      <c r="O7" s="74" t="str">
        <f t="shared" si="0"/>
        <v>ok</v>
      </c>
      <c r="P7" s="74" t="s">
        <v>67</v>
      </c>
      <c r="Q7" s="183" t="str">
        <f t="shared" ref="Q7:S30" si="2">CONCATENATE($P7,Q$5)</f>
        <v>답국</v>
      </c>
      <c r="R7" s="183" t="str">
        <f t="shared" si="1"/>
        <v>답공</v>
      </c>
      <c r="S7" s="183" t="str">
        <f t="shared" si="1"/>
        <v>답사</v>
      </c>
    </row>
    <row r="8" spans="1:19" s="143" customFormat="1" ht="23.1" customHeight="1">
      <c r="A8" s="181" t="s">
        <v>9</v>
      </c>
      <c r="B8" s="175">
        <f>COUNTIF(죽림리!$C$3:$C$934,P8)</f>
        <v>0</v>
      </c>
      <c r="C8" s="76" t="s">
        <v>5</v>
      </c>
      <c r="D8" s="176">
        <f>SUMIF(죽림리!$C$3:$C$934,P8,죽림리!$E$3:$E$934)</f>
        <v>0</v>
      </c>
      <c r="E8" s="175">
        <f>COUNTIF(죽림리!$P$3:$P$934,"임국")</f>
        <v>0</v>
      </c>
      <c r="F8" s="76" t="s">
        <v>5</v>
      </c>
      <c r="G8" s="176">
        <f>SUMIF(죽림리!$P$3:$P$934,Q8,죽림리!$E$3:$E$934)</f>
        <v>0</v>
      </c>
      <c r="H8" s="175">
        <f>COUNTIF(죽림리!$P$3:$P$934,R8)</f>
        <v>0</v>
      </c>
      <c r="I8" s="76" t="s">
        <v>5</v>
      </c>
      <c r="J8" s="176">
        <f>SUMIF(죽림리!$P$3:$P$934,R8,죽림리!$E$3:$E$934)</f>
        <v>0</v>
      </c>
      <c r="K8" s="175">
        <f>COUNTIF(죽림리!$P$3:$P$934,S8)</f>
        <v>0</v>
      </c>
      <c r="L8" s="76" t="s">
        <v>5</v>
      </c>
      <c r="M8" s="176">
        <f>SUMIF(죽림리!$P$3:$P$934,S8,죽림리!$E$3:$E$934)</f>
        <v>0</v>
      </c>
      <c r="N8" s="166"/>
      <c r="O8" s="74" t="str">
        <f t="shared" si="0"/>
        <v>ok</v>
      </c>
      <c r="P8" s="74" t="s">
        <v>64</v>
      </c>
      <c r="Q8" s="183" t="str">
        <f t="shared" si="2"/>
        <v>임국</v>
      </c>
      <c r="R8" s="183" t="str">
        <f t="shared" si="1"/>
        <v>임공</v>
      </c>
      <c r="S8" s="183" t="str">
        <f t="shared" si="1"/>
        <v>임사</v>
      </c>
    </row>
    <row r="9" spans="1:19" s="143" customFormat="1" ht="23.1" customHeight="1">
      <c r="A9" s="180" t="s">
        <v>10</v>
      </c>
      <c r="B9" s="175">
        <f>COUNTIF(죽림리!$C$3:$C$934,P9)</f>
        <v>0</v>
      </c>
      <c r="C9" s="76" t="s">
        <v>5</v>
      </c>
      <c r="D9" s="176">
        <f>SUMIF(죽림리!$C$3:$C$934,P9,죽림리!$E$3:$E$934)</f>
        <v>0</v>
      </c>
      <c r="E9" s="175">
        <f>COUNTIF(죽림리!$P$3:$P$934,"대국")</f>
        <v>0</v>
      </c>
      <c r="F9" s="76" t="s">
        <v>5</v>
      </c>
      <c r="G9" s="176">
        <f>SUMIF(죽림리!$P$3:$P$934,Q9,죽림리!$E$3:$E$934)</f>
        <v>0</v>
      </c>
      <c r="H9" s="175">
        <f>COUNTIF(죽림리!$P$3:$P$934,R9)</f>
        <v>0</v>
      </c>
      <c r="I9" s="76" t="s">
        <v>5</v>
      </c>
      <c r="J9" s="176">
        <f>SUMIF(죽림리!$P$3:$P$934,R9,죽림리!$E$3:$E$934)</f>
        <v>0</v>
      </c>
      <c r="K9" s="175">
        <f>COUNTIF(죽림리!$P$3:$P$934,S9)</f>
        <v>0</v>
      </c>
      <c r="L9" s="76" t="s">
        <v>5</v>
      </c>
      <c r="M9" s="176">
        <f>SUMIF(죽림리!$P$3:$P$934,S9,죽림리!$E$3:$E$934)</f>
        <v>0</v>
      </c>
      <c r="N9" s="166"/>
      <c r="O9" s="74" t="str">
        <f t="shared" si="0"/>
        <v>ok</v>
      </c>
      <c r="P9" s="74" t="s">
        <v>61</v>
      </c>
      <c r="Q9" s="183" t="str">
        <f t="shared" si="2"/>
        <v>대국</v>
      </c>
      <c r="R9" s="183" t="str">
        <f t="shared" si="1"/>
        <v>대공</v>
      </c>
      <c r="S9" s="183" t="str">
        <f t="shared" si="1"/>
        <v>대사</v>
      </c>
    </row>
    <row r="10" spans="1:19" s="143" customFormat="1" ht="23.1" customHeight="1">
      <c r="A10" s="180" t="s">
        <v>11</v>
      </c>
      <c r="B10" s="175">
        <f>COUNTIF(죽림리!$C$3:$C$934,P10)</f>
        <v>0</v>
      </c>
      <c r="C10" s="76" t="s">
        <v>5</v>
      </c>
      <c r="D10" s="176">
        <f>SUMIF(죽림리!$C$3:$C$934,P10,죽림리!$E$3:$E$934)</f>
        <v>0</v>
      </c>
      <c r="E10" s="175">
        <f>COUNTIF(죽림리!$P$3:$P$934,"도국")</f>
        <v>0</v>
      </c>
      <c r="F10" s="76" t="s">
        <v>5</v>
      </c>
      <c r="G10" s="176">
        <f>SUMIF(죽림리!$P$3:$P$934,Q10,죽림리!$E$3:$E$934)</f>
        <v>0</v>
      </c>
      <c r="H10" s="175">
        <f>COUNTIF(죽림리!$P$3:$P$934,R10)</f>
        <v>0</v>
      </c>
      <c r="I10" s="76" t="s">
        <v>5</v>
      </c>
      <c r="J10" s="176">
        <f>SUMIF(죽림리!$P$3:$P$934,R10,죽림리!$E$3:$E$934)</f>
        <v>0</v>
      </c>
      <c r="K10" s="175">
        <f>COUNTIF(죽림리!$P$3:$P$934,S10)</f>
        <v>0</v>
      </c>
      <c r="L10" s="76" t="s">
        <v>5</v>
      </c>
      <c r="M10" s="176">
        <f>SUMIF(죽림리!$P$3:$P$934,S10,죽림리!$E$3:$E$934)</f>
        <v>0</v>
      </c>
      <c r="N10" s="166"/>
      <c r="O10" s="74" t="str">
        <f t="shared" si="0"/>
        <v>ok</v>
      </c>
      <c r="P10" s="74" t="s">
        <v>63</v>
      </c>
      <c r="Q10" s="183" t="str">
        <f t="shared" si="2"/>
        <v>도국</v>
      </c>
      <c r="R10" s="183" t="str">
        <f t="shared" si="1"/>
        <v>도공</v>
      </c>
      <c r="S10" s="183" t="str">
        <f t="shared" si="1"/>
        <v>도사</v>
      </c>
    </row>
    <row r="11" spans="1:19" s="143" customFormat="1" ht="23.1" customHeight="1">
      <c r="A11" s="180" t="s">
        <v>13</v>
      </c>
      <c r="B11" s="175">
        <f>COUNTIF(죽림리!$C$3:$C$934,P11)</f>
        <v>0</v>
      </c>
      <c r="C11" s="76" t="s">
        <v>5</v>
      </c>
      <c r="D11" s="176">
        <f>SUMIF(죽림리!$C$3:$C$934,P11,죽림리!$E$3:$E$934)</f>
        <v>0</v>
      </c>
      <c r="E11" s="175">
        <f>COUNTIF(죽림리!$P$3:$P$934,"구국")</f>
        <v>0</v>
      </c>
      <c r="F11" s="76" t="s">
        <v>5</v>
      </c>
      <c r="G11" s="176">
        <f>SUMIF(죽림리!$P$3:$P$934,Q11,죽림리!$E$3:$E$934)</f>
        <v>0</v>
      </c>
      <c r="H11" s="175">
        <f>COUNTIF(죽림리!$P$3:$P$934,R11)</f>
        <v>0</v>
      </c>
      <c r="I11" s="76" t="s">
        <v>5</v>
      </c>
      <c r="J11" s="176">
        <f>SUMIF(죽림리!$P$3:$P$934,R11,죽림리!$E$3:$E$934)</f>
        <v>0</v>
      </c>
      <c r="K11" s="175">
        <f>COUNTIF(죽림리!$P$3:$P$934,S11)</f>
        <v>0</v>
      </c>
      <c r="L11" s="76" t="s">
        <v>5</v>
      </c>
      <c r="M11" s="176">
        <f>SUMIF(죽림리!$P$3:$P$934,S11,죽림리!$E$3:$E$934)</f>
        <v>0</v>
      </c>
      <c r="N11" s="166"/>
      <c r="O11" s="74" t="str">
        <f t="shared" si="0"/>
        <v>ok</v>
      </c>
      <c r="P11" s="74" t="s">
        <v>69</v>
      </c>
      <c r="Q11" s="183" t="str">
        <f t="shared" si="2"/>
        <v>구국</v>
      </c>
      <c r="R11" s="183" t="str">
        <f t="shared" si="1"/>
        <v>구공</v>
      </c>
      <c r="S11" s="183" t="str">
        <f t="shared" si="1"/>
        <v>구사</v>
      </c>
    </row>
    <row r="12" spans="1:19" s="143" customFormat="1" ht="23.1" customHeight="1">
      <c r="A12" s="180" t="s">
        <v>12</v>
      </c>
      <c r="B12" s="175">
        <f>COUNTIF(죽림리!$C$3:$C$934,P12)</f>
        <v>0</v>
      </c>
      <c r="C12" s="76" t="s">
        <v>5</v>
      </c>
      <c r="D12" s="176">
        <f>SUMIF(죽림리!$C$3:$C$934,P12,죽림리!$E$3:$E$934)</f>
        <v>0</v>
      </c>
      <c r="E12" s="175">
        <f>COUNTIF(죽림리!$P$3:$P$934,"천국")</f>
        <v>0</v>
      </c>
      <c r="F12" s="76" t="s">
        <v>5</v>
      </c>
      <c r="G12" s="176">
        <f>SUMIF(죽림리!$P$3:$P$934,Q12,죽림리!$E$3:$E$934)</f>
        <v>0</v>
      </c>
      <c r="H12" s="175">
        <f>COUNTIF(죽림리!$P$3:$P$934,R12)</f>
        <v>0</v>
      </c>
      <c r="I12" s="76" t="s">
        <v>5</v>
      </c>
      <c r="J12" s="176">
        <f>SUMIF(죽림리!$P$3:$P$934,R12,죽림리!$E$3:$E$934)</f>
        <v>0</v>
      </c>
      <c r="K12" s="175">
        <f>COUNTIF(죽림리!$P$3:$P$934,S12)</f>
        <v>0</v>
      </c>
      <c r="L12" s="76" t="s">
        <v>5</v>
      </c>
      <c r="M12" s="176">
        <f>SUMIF(죽림리!$P$3:$P$934,S12,죽림리!$E$3:$E$934)</f>
        <v>0</v>
      </c>
      <c r="N12" s="166"/>
      <c r="O12" s="74" t="str">
        <f t="shared" si="0"/>
        <v>ok</v>
      </c>
      <c r="P12" s="74" t="s">
        <v>83</v>
      </c>
      <c r="Q12" s="183" t="str">
        <f t="shared" si="2"/>
        <v>천국</v>
      </c>
      <c r="R12" s="183" t="str">
        <f t="shared" si="1"/>
        <v>천공</v>
      </c>
      <c r="S12" s="183" t="str">
        <f t="shared" si="1"/>
        <v>천사</v>
      </c>
    </row>
    <row r="13" spans="1:19" s="143" customFormat="1" ht="23.1" customHeight="1">
      <c r="A13" s="180" t="s">
        <v>15</v>
      </c>
      <c r="B13" s="175">
        <f>COUNTIF(죽림리!$C$3:$C$934,P13)</f>
        <v>0</v>
      </c>
      <c r="C13" s="76" t="s">
        <v>5</v>
      </c>
      <c r="D13" s="176">
        <f>SUMIF(죽림리!$C$3:$C$934,P13,죽림리!$E$3:$E$934)</f>
        <v>0</v>
      </c>
      <c r="E13" s="175">
        <f>COUNTIF(죽림리!$P$3:$P$934,"유국")</f>
        <v>0</v>
      </c>
      <c r="F13" s="76" t="s">
        <v>5</v>
      </c>
      <c r="G13" s="176">
        <f>SUMIF(죽림리!$P$3:$P$934,Q13,죽림리!$E$3:$E$934)</f>
        <v>0</v>
      </c>
      <c r="H13" s="175">
        <f>COUNTIF(죽림리!$P$3:$P$934,R13)</f>
        <v>0</v>
      </c>
      <c r="I13" s="76" t="s">
        <v>5</v>
      </c>
      <c r="J13" s="176">
        <f>SUMIF(죽림리!$P$3:$P$934,R13,죽림리!$E$3:$E$934)</f>
        <v>0</v>
      </c>
      <c r="K13" s="175">
        <f>COUNTIF(죽림리!$P$3:$P$934,S13)</f>
        <v>0</v>
      </c>
      <c r="L13" s="76" t="s">
        <v>5</v>
      </c>
      <c r="M13" s="176">
        <f>SUMIF(죽림리!$P$3:$P$934,S13,죽림리!$E$3:$E$934)</f>
        <v>0</v>
      </c>
      <c r="N13" s="166"/>
      <c r="O13" s="74" t="str">
        <f t="shared" si="0"/>
        <v>ok</v>
      </c>
      <c r="P13" s="74" t="s">
        <v>84</v>
      </c>
      <c r="Q13" s="183" t="str">
        <f t="shared" si="2"/>
        <v>유국</v>
      </c>
      <c r="R13" s="183" t="str">
        <f t="shared" si="1"/>
        <v>유공</v>
      </c>
      <c r="S13" s="183" t="str">
        <f t="shared" si="1"/>
        <v>유사</v>
      </c>
    </row>
    <row r="14" spans="1:19" s="143" customFormat="1" ht="23.1" customHeight="1">
      <c r="A14" s="180" t="s">
        <v>14</v>
      </c>
      <c r="B14" s="175">
        <f>COUNTIF(죽림리!$C$3:$C$934,P14)</f>
        <v>0</v>
      </c>
      <c r="C14" s="76" t="s">
        <v>5</v>
      </c>
      <c r="D14" s="176">
        <f>SUMIF(죽림리!$C$3:$C$934,P14,죽림리!$E$3:$E$934)</f>
        <v>0</v>
      </c>
      <c r="E14" s="175">
        <f>COUNTIF(죽림리!$P$3:$P$934,"제국")</f>
        <v>0</v>
      </c>
      <c r="F14" s="76" t="s">
        <v>5</v>
      </c>
      <c r="G14" s="176">
        <f>SUMIF(죽림리!$P$3:$P$934,Q14,죽림리!$E$3:$E$934)</f>
        <v>0</v>
      </c>
      <c r="H14" s="175">
        <f>COUNTIF(죽림리!$P$3:$P$934,R14)</f>
        <v>0</v>
      </c>
      <c r="I14" s="76" t="s">
        <v>5</v>
      </c>
      <c r="J14" s="176">
        <f>SUMIF(죽림리!$P$3:$P$934,R14,죽림리!$E$3:$E$934)</f>
        <v>0</v>
      </c>
      <c r="K14" s="175">
        <f>COUNTIF(죽림리!$P$3:$P$934,S14)</f>
        <v>0</v>
      </c>
      <c r="L14" s="76" t="s">
        <v>5</v>
      </c>
      <c r="M14" s="176">
        <f>SUMIF(죽림리!$P$3:$P$934,S14,죽림리!$E$3:$E$934)</f>
        <v>0</v>
      </c>
      <c r="N14" s="166"/>
      <c r="O14" s="74" t="str">
        <f t="shared" si="0"/>
        <v>ok</v>
      </c>
      <c r="P14" s="74" t="s">
        <v>85</v>
      </c>
      <c r="Q14" s="183" t="str">
        <f t="shared" si="2"/>
        <v>제국</v>
      </c>
      <c r="R14" s="183" t="str">
        <f t="shared" si="1"/>
        <v>제공</v>
      </c>
      <c r="S14" s="183" t="str">
        <f t="shared" si="1"/>
        <v>제사</v>
      </c>
    </row>
    <row r="15" spans="1:19" s="143" customFormat="1" ht="23.1" customHeight="1">
      <c r="A15" s="180" t="s">
        <v>16</v>
      </c>
      <c r="B15" s="175">
        <f>COUNTIF(죽림리!$C$3:$C$934,P15)</f>
        <v>0</v>
      </c>
      <c r="C15" s="76" t="s">
        <v>5</v>
      </c>
      <c r="D15" s="176">
        <f>SUMIF(죽림리!$C$3:$C$934,P15,죽림리!$E$3:$E$934)</f>
        <v>0</v>
      </c>
      <c r="E15" s="175">
        <f>COUNTIF(죽림리!$P$3:$P$934,"과국")</f>
        <v>0</v>
      </c>
      <c r="F15" s="76" t="s">
        <v>5</v>
      </c>
      <c r="G15" s="176">
        <f>SUMIF(죽림리!$P$3:$P$934,Q15,죽림리!$E$3:$E$934)</f>
        <v>0</v>
      </c>
      <c r="H15" s="175">
        <f>COUNTIF(죽림리!$P$3:$P$934,R15)</f>
        <v>0</v>
      </c>
      <c r="I15" s="76" t="s">
        <v>5</v>
      </c>
      <c r="J15" s="176">
        <f>SUMIF(죽림리!$P$3:$P$934,R15,죽림리!$E$3:$E$934)</f>
        <v>0</v>
      </c>
      <c r="K15" s="175">
        <f>COUNTIF(죽림리!$P$3:$P$934,S15)</f>
        <v>0</v>
      </c>
      <c r="L15" s="76" t="s">
        <v>5</v>
      </c>
      <c r="M15" s="176">
        <f>SUMIF(죽림리!$P$3:$P$934,S15,죽림리!$E$3:$E$934)</f>
        <v>0</v>
      </c>
      <c r="N15" s="166"/>
      <c r="O15" s="74" t="str">
        <f t="shared" si="0"/>
        <v>ok</v>
      </c>
      <c r="P15" s="74" t="s">
        <v>86</v>
      </c>
      <c r="Q15" s="183" t="str">
        <f t="shared" si="2"/>
        <v>과국</v>
      </c>
      <c r="R15" s="183" t="str">
        <f t="shared" si="1"/>
        <v>과공</v>
      </c>
      <c r="S15" s="183" t="str">
        <f t="shared" si="1"/>
        <v>과사</v>
      </c>
    </row>
    <row r="16" spans="1:19" s="143" customFormat="1" ht="23.1" customHeight="1">
      <c r="A16" s="180" t="s">
        <v>21</v>
      </c>
      <c r="B16" s="175">
        <f>COUNTIF(죽림리!$C$3:$C$934,P16)</f>
        <v>0</v>
      </c>
      <c r="C16" s="76" t="s">
        <v>5</v>
      </c>
      <c r="D16" s="176">
        <f>SUMIF(죽림리!$C$3:$C$934,P16,죽림리!$E$3:$E$934)</f>
        <v>0</v>
      </c>
      <c r="E16" s="175">
        <f>COUNTIF(죽림리!$P$3:$P$934,"장국")</f>
        <v>0</v>
      </c>
      <c r="F16" s="76" t="s">
        <v>5</v>
      </c>
      <c r="G16" s="176">
        <f>SUMIF(죽림리!$P$3:$P$934,Q16,죽림리!$E$3:$E$934)</f>
        <v>0</v>
      </c>
      <c r="H16" s="175">
        <f>COUNTIF(죽림리!$P$3:$P$934,R16)</f>
        <v>0</v>
      </c>
      <c r="I16" s="76" t="s">
        <v>5</v>
      </c>
      <c r="J16" s="176">
        <f>SUMIF(죽림리!$P$3:$P$934,R16,죽림리!$E$3:$E$934)</f>
        <v>0</v>
      </c>
      <c r="K16" s="175">
        <f>COUNTIF(죽림리!$P$3:$P$934,S16)</f>
        <v>0</v>
      </c>
      <c r="L16" s="76" t="s">
        <v>5</v>
      </c>
      <c r="M16" s="176">
        <f>SUMIF(죽림리!$P$3:$P$934,S16,죽림리!$E$3:$E$934)</f>
        <v>0</v>
      </c>
      <c r="N16" s="166"/>
      <c r="O16" s="74" t="str">
        <f t="shared" si="0"/>
        <v>ok</v>
      </c>
      <c r="P16" s="74" t="s">
        <v>65</v>
      </c>
      <c r="Q16" s="183" t="str">
        <f t="shared" si="2"/>
        <v>장국</v>
      </c>
      <c r="R16" s="183" t="str">
        <f t="shared" si="1"/>
        <v>장공</v>
      </c>
      <c r="S16" s="183" t="str">
        <f t="shared" si="1"/>
        <v>장사</v>
      </c>
    </row>
    <row r="17" spans="1:19" s="143" customFormat="1" ht="23.1" customHeight="1">
      <c r="A17" s="180" t="s">
        <v>18</v>
      </c>
      <c r="B17" s="175">
        <f>COUNTIF(죽림리!$C$3:$C$934,P17)</f>
        <v>0</v>
      </c>
      <c r="C17" s="76" t="s">
        <v>5</v>
      </c>
      <c r="D17" s="176">
        <f>SUMIF(죽림리!$C$3:$C$934,P17,죽림리!$E$3:$E$934)</f>
        <v>0</v>
      </c>
      <c r="E17" s="175">
        <f>COUNTIF(죽림리!$P$3:$P$934,"목국")</f>
        <v>0</v>
      </c>
      <c r="F17" s="76" t="s">
        <v>5</v>
      </c>
      <c r="G17" s="176">
        <f>SUMIF(죽림리!$P$3:$P$934,Q17,죽림리!$E$3:$E$934)</f>
        <v>0</v>
      </c>
      <c r="H17" s="175">
        <f>COUNTIF(죽림리!$P$3:$P$934,R17)</f>
        <v>0</v>
      </c>
      <c r="I17" s="76" t="s">
        <v>5</v>
      </c>
      <c r="J17" s="176">
        <f>SUMIF(죽림리!$P$3:$P$934,R17,죽림리!$E$3:$E$934)</f>
        <v>0</v>
      </c>
      <c r="K17" s="175">
        <f>COUNTIF(죽림리!$P$3:$P$934,S17)</f>
        <v>0</v>
      </c>
      <c r="L17" s="76" t="s">
        <v>5</v>
      </c>
      <c r="M17" s="176">
        <f>SUMIF(죽림리!$P$3:$P$934,S17,죽림리!$E$3:$E$934)</f>
        <v>0</v>
      </c>
      <c r="N17" s="166"/>
      <c r="O17" s="74" t="str">
        <f t="shared" si="0"/>
        <v>ok</v>
      </c>
      <c r="P17" s="74" t="s">
        <v>66</v>
      </c>
      <c r="Q17" s="183" t="str">
        <f t="shared" si="2"/>
        <v>목국</v>
      </c>
      <c r="R17" s="183" t="str">
        <f t="shared" si="1"/>
        <v>목공</v>
      </c>
      <c r="S17" s="183" t="str">
        <f t="shared" si="1"/>
        <v>목사</v>
      </c>
    </row>
    <row r="18" spans="1:19" s="143" customFormat="1" ht="23.1" customHeight="1">
      <c r="A18" s="180" t="s">
        <v>23</v>
      </c>
      <c r="B18" s="175">
        <f>COUNTIF(죽림리!$C$3:$C$934,P18)</f>
        <v>0</v>
      </c>
      <c r="C18" s="76" t="s">
        <v>5</v>
      </c>
      <c r="D18" s="176">
        <f>SUMIF(죽림리!$C$3:$C$934,P18,죽림리!$E$3:$E$934)</f>
        <v>0</v>
      </c>
      <c r="E18" s="175">
        <f>COUNTIF(죽림리!$P$3:$P$934,"학국")</f>
        <v>0</v>
      </c>
      <c r="F18" s="76" t="s">
        <v>5</v>
      </c>
      <c r="G18" s="176">
        <f>SUMIF(죽림리!$P$3:$P$934,Q18,죽림리!$E$3:$E$934)</f>
        <v>0</v>
      </c>
      <c r="H18" s="175">
        <f>COUNTIF(죽림리!$P$3:$P$934,R18)</f>
        <v>0</v>
      </c>
      <c r="I18" s="76" t="s">
        <v>5</v>
      </c>
      <c r="J18" s="176">
        <f>SUMIF(죽림리!$P$3:$P$934,R18,죽림리!$E$3:$E$934)</f>
        <v>0</v>
      </c>
      <c r="K18" s="175">
        <f>COUNTIF(죽림리!$P$3:$P$934,S18)</f>
        <v>0</v>
      </c>
      <c r="L18" s="76" t="s">
        <v>5</v>
      </c>
      <c r="M18" s="176">
        <f>SUMIF(죽림리!$P$3:$P$934,S18,죽림리!$E$3:$E$934)</f>
        <v>0</v>
      </c>
      <c r="N18" s="166"/>
      <c r="O18" s="74" t="str">
        <f t="shared" si="0"/>
        <v>ok</v>
      </c>
      <c r="P18" s="74" t="s">
        <v>87</v>
      </c>
      <c r="Q18" s="183" t="str">
        <f t="shared" si="2"/>
        <v>학국</v>
      </c>
      <c r="R18" s="183" t="str">
        <f t="shared" si="1"/>
        <v>학공</v>
      </c>
      <c r="S18" s="183" t="str">
        <f t="shared" si="1"/>
        <v>학사</v>
      </c>
    </row>
    <row r="19" spans="1:19" s="143" customFormat="1" ht="23.1" customHeight="1">
      <c r="A19" s="180" t="s">
        <v>41</v>
      </c>
      <c r="B19" s="175">
        <f>COUNTIF(죽림리!$C$3:$C$934,P19)</f>
        <v>0</v>
      </c>
      <c r="C19" s="76" t="s">
        <v>5</v>
      </c>
      <c r="D19" s="176">
        <f>SUMIF(죽림리!$C$3:$C$934,P19,죽림리!$E$3:$E$934)</f>
        <v>0</v>
      </c>
      <c r="E19" s="175">
        <f>COUNTIF(죽림리!$P$3:$P$934,"철국")</f>
        <v>0</v>
      </c>
      <c r="F19" s="76" t="s">
        <v>5</v>
      </c>
      <c r="G19" s="176">
        <f>SUMIF(죽림리!$P$3:$P$934,Q19,죽림리!$E$3:$E$934)</f>
        <v>0</v>
      </c>
      <c r="H19" s="175">
        <f>COUNTIF(죽림리!$P$3:$P$934,R19)</f>
        <v>0</v>
      </c>
      <c r="I19" s="76" t="s">
        <v>5</v>
      </c>
      <c r="J19" s="176">
        <f>SUMIF(죽림리!$P$3:$P$934,R19,죽림리!$E$3:$E$934)</f>
        <v>0</v>
      </c>
      <c r="K19" s="175">
        <f>COUNTIF(죽림리!$P$3:$P$934,S19)</f>
        <v>0</v>
      </c>
      <c r="L19" s="76" t="s">
        <v>5</v>
      </c>
      <c r="M19" s="176">
        <f>SUMIF(죽림리!$P$3:$P$934,S19,죽림리!$E$3:$E$934)</f>
        <v>0</v>
      </c>
      <c r="N19" s="166"/>
      <c r="O19" s="74" t="str">
        <f t="shared" si="0"/>
        <v>ok</v>
      </c>
      <c r="P19" s="74" t="s">
        <v>88</v>
      </c>
      <c r="Q19" s="183" t="str">
        <f t="shared" si="2"/>
        <v>철국</v>
      </c>
      <c r="R19" s="183" t="str">
        <f t="shared" si="1"/>
        <v>철공</v>
      </c>
      <c r="S19" s="183" t="str">
        <f t="shared" si="1"/>
        <v>철사</v>
      </c>
    </row>
    <row r="20" spans="1:19" s="143" customFormat="1" ht="23.1" customHeight="1">
      <c r="A20" s="180" t="s">
        <v>17</v>
      </c>
      <c r="B20" s="175">
        <f>COUNTIF(죽림리!$C$3:$C$934,P20)</f>
        <v>0</v>
      </c>
      <c r="C20" s="76" t="s">
        <v>5</v>
      </c>
      <c r="D20" s="176">
        <f>SUMIF(죽림리!$C$3:$C$934,P20,죽림리!$E$3:$E$934)</f>
        <v>0</v>
      </c>
      <c r="E20" s="175">
        <f>COUNTIF(죽림리!$P$3:$P$934,"묘국")</f>
        <v>0</v>
      </c>
      <c r="F20" s="76" t="s">
        <v>5</v>
      </c>
      <c r="G20" s="176">
        <f>SUMIF(죽림리!$P$3:$P$934,Q20,죽림리!$E$3:$E$934)</f>
        <v>0</v>
      </c>
      <c r="H20" s="175">
        <f>COUNTIF(죽림리!$P$3:$P$934,R20)</f>
        <v>0</v>
      </c>
      <c r="I20" s="76" t="s">
        <v>5</v>
      </c>
      <c r="J20" s="176">
        <f>SUMIF(죽림리!$P$3:$P$934,R20,죽림리!$E$3:$E$934)</f>
        <v>0</v>
      </c>
      <c r="K20" s="175">
        <f>COUNTIF(죽림리!$P$3:$P$934,S20)</f>
        <v>0</v>
      </c>
      <c r="L20" s="76" t="s">
        <v>5</v>
      </c>
      <c r="M20" s="176">
        <f>SUMIF(죽림리!$P$3:$P$934,S20,죽림리!$E$3:$E$934)</f>
        <v>0</v>
      </c>
      <c r="N20" s="166"/>
      <c r="O20" s="74" t="str">
        <f t="shared" si="0"/>
        <v>ok</v>
      </c>
      <c r="P20" s="74" t="s">
        <v>68</v>
      </c>
      <c r="Q20" s="183" t="str">
        <f t="shared" si="2"/>
        <v>묘국</v>
      </c>
      <c r="R20" s="183" t="str">
        <f t="shared" si="1"/>
        <v>묘공</v>
      </c>
      <c r="S20" s="183" t="str">
        <f t="shared" si="1"/>
        <v>묘사</v>
      </c>
    </row>
    <row r="21" spans="1:19" s="143" customFormat="1" ht="23.1" customHeight="1">
      <c r="A21" s="180" t="s">
        <v>20</v>
      </c>
      <c r="B21" s="175">
        <f>COUNTIF(죽림리!$C$3:$C$934,P21)</f>
        <v>0</v>
      </c>
      <c r="C21" s="76" t="s">
        <v>5</v>
      </c>
      <c r="D21" s="176">
        <f>SUMIF(죽림리!$C$3:$C$934,P21,죽림리!$E$3:$E$934)</f>
        <v>0</v>
      </c>
      <c r="E21" s="175">
        <f>COUNTIF(죽림리!$P$3:$P$934,"수국")</f>
        <v>0</v>
      </c>
      <c r="F21" s="76" t="s">
        <v>5</v>
      </c>
      <c r="G21" s="176">
        <f>SUMIF(죽림리!$P$3:$P$934,Q21,죽림리!$E$3:$E$934)</f>
        <v>0</v>
      </c>
      <c r="H21" s="175">
        <f>COUNTIF(죽림리!$P$3:$P$934,R21)</f>
        <v>0</v>
      </c>
      <c r="I21" s="76" t="s">
        <v>5</v>
      </c>
      <c r="J21" s="176">
        <f>SUMIF(죽림리!$P$3:$P$934,R21,죽림리!$E$3:$E$934)</f>
        <v>0</v>
      </c>
      <c r="K21" s="175">
        <f>COUNTIF(죽림리!$P$3:$P$934,S21)</f>
        <v>0</v>
      </c>
      <c r="L21" s="76" t="s">
        <v>5</v>
      </c>
      <c r="M21" s="176">
        <f>SUMIF(죽림리!$P$3:$P$934,S21,죽림리!$E$3:$E$934)</f>
        <v>0</v>
      </c>
      <c r="N21" s="166"/>
      <c r="O21" s="74" t="str">
        <f t="shared" si="0"/>
        <v>ok</v>
      </c>
      <c r="P21" s="74" t="s">
        <v>89</v>
      </c>
      <c r="Q21" s="183" t="str">
        <f t="shared" si="2"/>
        <v>수국</v>
      </c>
      <c r="R21" s="183" t="str">
        <f t="shared" si="1"/>
        <v>수공</v>
      </c>
      <c r="S21" s="183" t="str">
        <f t="shared" si="1"/>
        <v>수사</v>
      </c>
    </row>
    <row r="22" spans="1:19" s="143" customFormat="1" ht="23.1" customHeight="1">
      <c r="A22" s="180" t="s">
        <v>19</v>
      </c>
      <c r="B22" s="175">
        <f>COUNTIF(죽림리!$C$3:$C$934,P22)</f>
        <v>0</v>
      </c>
      <c r="C22" s="76" t="s">
        <v>5</v>
      </c>
      <c r="D22" s="176">
        <f>SUMIF(죽림리!$C$3:$C$934,P22,죽림리!$E$3:$E$934)</f>
        <v>0</v>
      </c>
      <c r="E22" s="175">
        <f>COUNTIF(죽림리!$P$3:$P$934,"잡국")</f>
        <v>0</v>
      </c>
      <c r="F22" s="76" t="s">
        <v>5</v>
      </c>
      <c r="G22" s="176">
        <f>SUMIF(죽림리!$P$3:$P$934,Q22,죽림리!$E$3:$E$934)</f>
        <v>0</v>
      </c>
      <c r="H22" s="175">
        <f>COUNTIF(죽림리!$P$3:$P$934,R22)</f>
        <v>0</v>
      </c>
      <c r="I22" s="76" t="s">
        <v>5</v>
      </c>
      <c r="J22" s="176">
        <f>SUMIF(죽림리!$P$3:$P$934,R22,죽림리!$E$3:$E$934)</f>
        <v>0</v>
      </c>
      <c r="K22" s="175">
        <f>COUNTIF(죽림리!$P$3:$P$934,S22)</f>
        <v>0</v>
      </c>
      <c r="L22" s="76" t="s">
        <v>5</v>
      </c>
      <c r="M22" s="176">
        <f>SUMIF(죽림리!$P$3:$P$934,S22,죽림리!$E$3:$E$934)</f>
        <v>0</v>
      </c>
      <c r="N22" s="166"/>
      <c r="O22" s="74" t="str">
        <f t="shared" si="0"/>
        <v>ok</v>
      </c>
      <c r="P22" s="74" t="s">
        <v>90</v>
      </c>
      <c r="Q22" s="183" t="str">
        <f t="shared" si="2"/>
        <v>잡국</v>
      </c>
      <c r="R22" s="183" t="str">
        <f t="shared" si="2"/>
        <v>잡공</v>
      </c>
      <c r="S22" s="183" t="str">
        <f t="shared" si="2"/>
        <v>잡사</v>
      </c>
    </row>
    <row r="23" spans="1:19" s="143" customFormat="1" ht="23.1" customHeight="1">
      <c r="A23" s="180" t="s">
        <v>42</v>
      </c>
      <c r="B23" s="175">
        <f>COUNTIF(죽림리!$C$3:$C$934,P23)</f>
        <v>0</v>
      </c>
      <c r="C23" s="76" t="s">
        <v>5</v>
      </c>
      <c r="D23" s="176">
        <f>SUMIF(죽림리!$C$3:$C$934,P23,죽림리!$E$3:$E$934)</f>
        <v>0</v>
      </c>
      <c r="E23" s="175">
        <f>COUNTIF(죽림리!$P$3:$P$934,"종국")</f>
        <v>0</v>
      </c>
      <c r="F23" s="76" t="s">
        <v>5</v>
      </c>
      <c r="G23" s="176">
        <f>SUMIF(죽림리!$P$3:$P$934,Q23,죽림리!$E$3:$E$934)</f>
        <v>0</v>
      </c>
      <c r="H23" s="175">
        <f>COUNTIF(죽림리!$P$3:$P$934,R23)</f>
        <v>0</v>
      </c>
      <c r="I23" s="76" t="s">
        <v>5</v>
      </c>
      <c r="J23" s="176">
        <f>SUMIF(죽림리!$P$3:$P$934,R23,죽림리!$E$3:$E$934)</f>
        <v>0</v>
      </c>
      <c r="K23" s="175">
        <f>COUNTIF(죽림리!$P$3:$P$934,S23)</f>
        <v>0</v>
      </c>
      <c r="L23" s="76" t="s">
        <v>5</v>
      </c>
      <c r="M23" s="176">
        <f>SUMIF(죽림리!$P$3:$P$934,S23,죽림리!$E$3:$E$934)</f>
        <v>0</v>
      </c>
      <c r="N23" s="166"/>
      <c r="O23" s="74" t="str">
        <f t="shared" si="0"/>
        <v>ok</v>
      </c>
      <c r="P23" s="74" t="s">
        <v>91</v>
      </c>
      <c r="Q23" s="183" t="str">
        <f t="shared" si="2"/>
        <v>종국</v>
      </c>
      <c r="R23" s="183" t="str">
        <f t="shared" si="2"/>
        <v>종공</v>
      </c>
      <c r="S23" s="183" t="str">
        <f t="shared" si="2"/>
        <v>종사</v>
      </c>
    </row>
    <row r="24" spans="1:19" s="143" customFormat="1" ht="23.1" customHeight="1">
      <c r="A24" s="180" t="s">
        <v>43</v>
      </c>
      <c r="B24" s="175">
        <f>COUNTIF(죽림리!$C$3:$C$934,P24)</f>
        <v>0</v>
      </c>
      <c r="C24" s="76" t="s">
        <v>5</v>
      </c>
      <c r="D24" s="176">
        <f>SUMIF(죽림리!$C$3:$C$934,P24,죽림리!$E$3:$E$934)</f>
        <v>0</v>
      </c>
      <c r="E24" s="175">
        <f>COUNTIF(죽림리!$P$3:$P$934,"염국")</f>
        <v>0</v>
      </c>
      <c r="F24" s="76" t="s">
        <v>5</v>
      </c>
      <c r="G24" s="176">
        <f>SUMIF(죽림리!$P$3:$P$934,Q24,죽림리!$E$3:$E$934)</f>
        <v>0</v>
      </c>
      <c r="H24" s="175">
        <f>COUNTIF(죽림리!$P$3:$P$934,R24)</f>
        <v>0</v>
      </c>
      <c r="I24" s="76" t="s">
        <v>5</v>
      </c>
      <c r="J24" s="176">
        <f>SUMIF(죽림리!$P$3:$P$934,R24,죽림리!$E$3:$E$934)</f>
        <v>0</v>
      </c>
      <c r="K24" s="175">
        <f>COUNTIF(죽림리!$P$3:$P$934,S24)</f>
        <v>0</v>
      </c>
      <c r="L24" s="76" t="s">
        <v>5</v>
      </c>
      <c r="M24" s="176">
        <f>SUMIF(죽림리!$P$3:$P$934,S24,죽림리!$E$3:$E$934)</f>
        <v>0</v>
      </c>
      <c r="N24" s="166"/>
      <c r="O24" s="74" t="str">
        <f t="shared" si="0"/>
        <v>ok</v>
      </c>
      <c r="P24" s="74" t="s">
        <v>92</v>
      </c>
      <c r="Q24" s="183" t="str">
        <f t="shared" si="2"/>
        <v>염국</v>
      </c>
      <c r="R24" s="183" t="str">
        <f t="shared" si="2"/>
        <v>염공</v>
      </c>
      <c r="S24" s="183" t="str">
        <f t="shared" si="2"/>
        <v>염사</v>
      </c>
    </row>
    <row r="25" spans="1:19" s="143" customFormat="1" ht="23.1" customHeight="1">
      <c r="A25" s="180" t="s">
        <v>44</v>
      </c>
      <c r="B25" s="175">
        <f>COUNTIF(죽림리!$C$3:$C$934,P25)</f>
        <v>0</v>
      </c>
      <c r="C25" s="76" t="s">
        <v>5</v>
      </c>
      <c r="D25" s="176">
        <f>SUMIF(죽림리!$C$3:$C$934,P25,죽림리!$E$3:$E$934)</f>
        <v>0</v>
      </c>
      <c r="E25" s="175">
        <f>COUNTIF(죽림리!$P$3:$P$934,"공국")</f>
        <v>0</v>
      </c>
      <c r="F25" s="76" t="s">
        <v>5</v>
      </c>
      <c r="G25" s="176">
        <f>SUMIF(죽림리!$P$3:$P$934,Q25,죽림리!$E$3:$E$934)</f>
        <v>0</v>
      </c>
      <c r="H25" s="175">
        <f>COUNTIF(죽림리!$P$3:$P$934,R25)</f>
        <v>0</v>
      </c>
      <c r="I25" s="76" t="s">
        <v>5</v>
      </c>
      <c r="J25" s="176">
        <f>SUMIF(죽림리!$P$3:$P$934,R25,죽림리!$E$3:$E$934)</f>
        <v>0</v>
      </c>
      <c r="K25" s="175">
        <f>COUNTIF(죽림리!$P$3:$P$934,S25)</f>
        <v>0</v>
      </c>
      <c r="L25" s="76" t="s">
        <v>5</v>
      </c>
      <c r="M25" s="176">
        <f>SUMIF(죽림리!$P$3:$P$934,S25,죽림리!$E$3:$E$934)</f>
        <v>0</v>
      </c>
      <c r="N25" s="166"/>
      <c r="O25" s="74" t="str">
        <f t="shared" si="0"/>
        <v>ok</v>
      </c>
      <c r="P25" s="74" t="s">
        <v>71</v>
      </c>
      <c r="Q25" s="183" t="str">
        <f t="shared" si="2"/>
        <v>공국</v>
      </c>
      <c r="R25" s="183" t="str">
        <f t="shared" si="2"/>
        <v>공공</v>
      </c>
      <c r="S25" s="183" t="str">
        <f t="shared" si="2"/>
        <v>공사</v>
      </c>
    </row>
    <row r="26" spans="1:19" s="143" customFormat="1" ht="23.1" customHeight="1">
      <c r="A26" s="180" t="s">
        <v>45</v>
      </c>
      <c r="B26" s="175">
        <f>COUNTIF(죽림리!$C$3:$C$934,P26)</f>
        <v>0</v>
      </c>
      <c r="C26" s="76" t="s">
        <v>5</v>
      </c>
      <c r="D26" s="176">
        <f>SUMIF(죽림리!$C$3:$C$934,P26,죽림리!$E$3:$E$934)</f>
        <v>0</v>
      </c>
      <c r="E26" s="175">
        <f>COUNTIF(죽림리!$P$3:$P$934,"체국")</f>
        <v>0</v>
      </c>
      <c r="F26" s="76" t="s">
        <v>5</v>
      </c>
      <c r="G26" s="176">
        <f>SUMIF(죽림리!$P$3:$P$934,Q26,죽림리!$E$3:$E$934)</f>
        <v>0</v>
      </c>
      <c r="H26" s="175">
        <f>COUNTIF(죽림리!$P$3:$P$934,R26)</f>
        <v>0</v>
      </c>
      <c r="I26" s="76" t="s">
        <v>5</v>
      </c>
      <c r="J26" s="176">
        <f>SUMIF(죽림리!$P$3:$P$934,R26,죽림리!$E$3:$E$934)</f>
        <v>0</v>
      </c>
      <c r="K26" s="175">
        <f>COUNTIF(죽림리!$P$3:$P$934,S26)</f>
        <v>0</v>
      </c>
      <c r="L26" s="76" t="s">
        <v>5</v>
      </c>
      <c r="M26" s="176">
        <f>SUMIF(죽림리!$P$3:$P$934,S26,죽림리!$E$3:$E$934)</f>
        <v>0</v>
      </c>
      <c r="N26" s="166"/>
      <c r="O26" s="74" t="str">
        <f t="shared" si="0"/>
        <v>ok</v>
      </c>
      <c r="P26" s="74" t="s">
        <v>93</v>
      </c>
      <c r="Q26" s="183" t="str">
        <f t="shared" si="2"/>
        <v>체국</v>
      </c>
      <c r="R26" s="183" t="str">
        <f t="shared" si="2"/>
        <v>체공</v>
      </c>
      <c r="S26" s="183" t="str">
        <f t="shared" si="2"/>
        <v>체사</v>
      </c>
    </row>
    <row r="27" spans="1:19" s="143" customFormat="1" ht="23.1" customHeight="1">
      <c r="A27" s="180" t="s">
        <v>60</v>
      </c>
      <c r="B27" s="175">
        <f>COUNTIF(죽림리!$C$3:$C$934,P27)</f>
        <v>0</v>
      </c>
      <c r="C27" s="76" t="s">
        <v>5</v>
      </c>
      <c r="D27" s="176">
        <f>SUMIF(죽림리!$C$3:$C$934,P27,죽림리!$E$3:$E$934)</f>
        <v>0</v>
      </c>
      <c r="E27" s="175">
        <f>COUNTIF(죽림리!$P$3:$P$934,"차국")</f>
        <v>0</v>
      </c>
      <c r="F27" s="76" t="s">
        <v>5</v>
      </c>
      <c r="G27" s="176">
        <f>SUMIF(죽림리!$P$3:$P$934,Q27,죽림리!$E$3:$E$934)</f>
        <v>0</v>
      </c>
      <c r="H27" s="175">
        <f>COUNTIF(죽림리!$P$3:$P$934,R27)</f>
        <v>0</v>
      </c>
      <c r="I27" s="76" t="s">
        <v>5</v>
      </c>
      <c r="J27" s="176">
        <f>SUMIF(죽림리!$P$3:$P$934,R27,죽림리!$E$3:$E$934)</f>
        <v>0</v>
      </c>
      <c r="K27" s="175">
        <f>COUNTIF(죽림리!$P$3:$P$934,S27)</f>
        <v>0</v>
      </c>
      <c r="L27" s="76" t="s">
        <v>5</v>
      </c>
      <c r="M27" s="176">
        <f>SUMIF(죽림리!$P$3:$P$934,S27,죽림리!$E$3:$E$934)</f>
        <v>0</v>
      </c>
      <c r="N27" s="166"/>
      <c r="O27" s="74" t="str">
        <f t="shared" si="0"/>
        <v>ok</v>
      </c>
      <c r="P27" s="74" t="s">
        <v>96</v>
      </c>
      <c r="Q27" s="183" t="str">
        <f t="shared" si="2"/>
        <v>차국</v>
      </c>
      <c r="R27" s="183" t="str">
        <f t="shared" si="2"/>
        <v>차공</v>
      </c>
      <c r="S27" s="183" t="str">
        <f t="shared" si="2"/>
        <v>차사</v>
      </c>
    </row>
    <row r="28" spans="1:19" s="143" customFormat="1" ht="23.1" customHeight="1">
      <c r="A28" s="180" t="s">
        <v>56</v>
      </c>
      <c r="B28" s="175">
        <f>COUNTIF(죽림리!$C$3:$C$934,P28)</f>
        <v>0</v>
      </c>
      <c r="C28" s="76" t="s">
        <v>5</v>
      </c>
      <c r="D28" s="176">
        <f>SUMIF(죽림리!$C$3:$C$934,P28,죽림리!$E$3:$E$934)</f>
        <v>0</v>
      </c>
      <c r="E28" s="175">
        <f>COUNTIF(죽림리!$P$3:$P$934,"주국")</f>
        <v>0</v>
      </c>
      <c r="F28" s="76" t="s">
        <v>5</v>
      </c>
      <c r="G28" s="176">
        <f>SUMIF(죽림리!$P$3:$P$934,Q28,죽림리!$E$3:$E$934)</f>
        <v>0</v>
      </c>
      <c r="H28" s="175">
        <f>COUNTIF(죽림리!$P$3:$P$934,R28)</f>
        <v>0</v>
      </c>
      <c r="I28" s="76" t="s">
        <v>5</v>
      </c>
      <c r="J28" s="176">
        <f>SUMIF(죽림리!$P$3:$P$934,R28,죽림리!$E$3:$E$934)</f>
        <v>0</v>
      </c>
      <c r="K28" s="175">
        <f>COUNTIF(죽림리!$P$3:$P$934,S28)</f>
        <v>0</v>
      </c>
      <c r="L28" s="76" t="s">
        <v>5</v>
      </c>
      <c r="M28" s="176">
        <f>SUMIF(죽림리!$P$3:$P$934,S28,죽림리!$E$3:$E$934)</f>
        <v>0</v>
      </c>
      <c r="N28" s="166"/>
      <c r="O28" s="74" t="str">
        <f t="shared" si="0"/>
        <v>ok</v>
      </c>
      <c r="P28" s="74" t="s">
        <v>94</v>
      </c>
      <c r="Q28" s="183" t="str">
        <f t="shared" si="2"/>
        <v>주국</v>
      </c>
      <c r="R28" s="183" t="str">
        <f t="shared" si="2"/>
        <v>주공</v>
      </c>
      <c r="S28" s="183" t="str">
        <f t="shared" si="2"/>
        <v>주사</v>
      </c>
    </row>
    <row r="29" spans="1:19" s="143" customFormat="1" ht="23.1" customHeight="1">
      <c r="A29" s="180" t="s">
        <v>57</v>
      </c>
      <c r="B29" s="175">
        <f>COUNTIF(죽림리!$C$3:$C$934,P29)</f>
        <v>0</v>
      </c>
      <c r="C29" s="76" t="s">
        <v>5</v>
      </c>
      <c r="D29" s="176">
        <f>SUMIF(죽림리!$C$3:$C$934,P29,죽림리!$E$3:$E$934)</f>
        <v>0</v>
      </c>
      <c r="E29" s="175">
        <f>COUNTIF(죽림리!$P$3:$P$934,"창국")</f>
        <v>0</v>
      </c>
      <c r="F29" s="76" t="s">
        <v>5</v>
      </c>
      <c r="G29" s="176">
        <f>SUMIF(죽림리!$P$3:$P$934,Q29,죽림리!$E$3:$E$934)</f>
        <v>0</v>
      </c>
      <c r="H29" s="175">
        <f>COUNTIF(죽림리!$P$3:$P$934,R29)</f>
        <v>0</v>
      </c>
      <c r="I29" s="76" t="s">
        <v>5</v>
      </c>
      <c r="J29" s="176">
        <f>SUMIF(죽림리!$P$3:$P$934,R29,죽림리!$E$3:$E$934)</f>
        <v>0</v>
      </c>
      <c r="K29" s="175">
        <f>COUNTIF(죽림리!$P$3:$P$934,S29)</f>
        <v>0</v>
      </c>
      <c r="L29" s="76" t="s">
        <v>5</v>
      </c>
      <c r="M29" s="176">
        <f>SUMIF(죽림리!$P$3:$P$934,S29,죽림리!$E$3:$E$934)</f>
        <v>0</v>
      </c>
      <c r="N29" s="166"/>
      <c r="O29" s="74" t="str">
        <f t="shared" si="0"/>
        <v>ok</v>
      </c>
      <c r="P29" s="74" t="s">
        <v>95</v>
      </c>
      <c r="Q29" s="183" t="str">
        <f t="shared" si="2"/>
        <v>창국</v>
      </c>
      <c r="R29" s="183" t="str">
        <f t="shared" si="2"/>
        <v>창공</v>
      </c>
      <c r="S29" s="183" t="str">
        <f t="shared" si="2"/>
        <v>창사</v>
      </c>
    </row>
    <row r="30" spans="1:19" s="143" customFormat="1" ht="23.1" customHeight="1">
      <c r="A30" s="182" t="s">
        <v>24</v>
      </c>
      <c r="B30" s="177">
        <f>COUNTIF(죽림리!$C$3:$C$934,P30)</f>
        <v>0</v>
      </c>
      <c r="C30" s="81" t="s">
        <v>5</v>
      </c>
      <c r="D30" s="178">
        <f>SUMIF(죽림리!$C$3:$C$934,P30,죽림리!$E$3:$E$934)</f>
        <v>0</v>
      </c>
      <c r="E30" s="177">
        <f>COUNTIF(죽림리!$P$3:$P$934,"가국")</f>
        <v>0</v>
      </c>
      <c r="F30" s="81" t="s">
        <v>5</v>
      </c>
      <c r="G30" s="178">
        <f>SUMIF(죽림리!$P$3:$P$934,Q30,죽림리!$E$3:$E$934)</f>
        <v>0</v>
      </c>
      <c r="H30" s="177">
        <f>COUNTIF(죽림리!$P$3:$P$934,R30)</f>
        <v>0</v>
      </c>
      <c r="I30" s="81" t="s">
        <v>5</v>
      </c>
      <c r="J30" s="178">
        <f>SUMIF(죽림리!$P$3:$P$934,R30,죽림리!$E$3:$E$934)</f>
        <v>0</v>
      </c>
      <c r="K30" s="177">
        <f>COUNTIF(죽림리!$P$3:$P$934,S30)</f>
        <v>0</v>
      </c>
      <c r="L30" s="81" t="s">
        <v>5</v>
      </c>
      <c r="M30" s="178">
        <f>SUMIF(죽림리!$P$3:$P$934,S30,죽림리!$E$3:$E$934)</f>
        <v>0</v>
      </c>
      <c r="N30" s="167"/>
      <c r="O30" s="74" t="str">
        <f t="shared" si="0"/>
        <v>ok</v>
      </c>
      <c r="P30" s="74" t="s">
        <v>97</v>
      </c>
      <c r="Q30" s="183" t="str">
        <f t="shared" si="2"/>
        <v>가국</v>
      </c>
      <c r="R30" s="183" t="str">
        <f t="shared" si="2"/>
        <v>가공</v>
      </c>
      <c r="S30" s="183" t="str">
        <f t="shared" si="2"/>
        <v>가사</v>
      </c>
    </row>
  </sheetData>
  <mergeCells count="2">
    <mergeCell ref="A3:A4"/>
    <mergeCell ref="N3:N4"/>
  </mergeCells>
  <phoneticPr fontId="11" type="noConversion"/>
  <printOptions horizontalCentered="1" verticalCentered="1"/>
  <pageMargins left="0.39370078740157483" right="0.39370078740157483" top="0.78740157480314965" bottom="0.78740157480314965" header="0.39370078740157483" footer="0.19685039370078741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Y464"/>
  <sheetViews>
    <sheetView showGridLines="0" showZeros="0" view="pageBreakPreview" zoomScaleSheetLayoutView="100" workbookViewId="0">
      <pane ySplit="2" topLeftCell="A3" activePane="bottomLeft" state="frozen"/>
      <selection activeCell="N2" sqref="N2"/>
      <selection pane="bottomLeft" activeCell="N2" sqref="N2"/>
    </sheetView>
  </sheetViews>
  <sheetFormatPr defaultRowHeight="11.25"/>
  <cols>
    <col min="1" max="1" width="3.77734375" style="113" customWidth="1"/>
    <col min="2" max="2" width="6.44140625" style="121" customWidth="1"/>
    <col min="3" max="3" width="3.77734375" style="113" customWidth="1"/>
    <col min="4" max="4" width="7.77734375" style="113" customWidth="1"/>
    <col min="5" max="5" width="7.77734375" style="122" customWidth="1"/>
    <col min="6" max="6" width="3.77734375" style="113" hidden="1" customWidth="1"/>
    <col min="7" max="7" width="5.6640625" style="113" hidden="1" customWidth="1"/>
    <col min="8" max="8" width="6.77734375" style="113" customWidth="1"/>
    <col min="9" max="9" width="15.77734375" style="113" customWidth="1"/>
    <col min="10" max="10" width="6.77734375" style="152" customWidth="1"/>
    <col min="11" max="11" width="12.77734375" style="113" customWidth="1"/>
    <col min="12" max="12" width="6.77734375" style="113" customWidth="1"/>
    <col min="13" max="13" width="4.77734375" style="113" customWidth="1"/>
    <col min="14" max="15" width="8.77734375" style="113" customWidth="1"/>
    <col min="16" max="16" width="10.77734375" style="123" customWidth="1"/>
    <col min="17" max="21" width="9.77734375" style="113" customWidth="1"/>
    <col min="22" max="22" width="10.77734375" style="113" customWidth="1"/>
    <col min="23" max="16384" width="8.88671875" style="113"/>
  </cols>
  <sheetData>
    <row r="1" spans="1:22" ht="24.95" customHeight="1">
      <c r="A1" s="494" t="s">
        <v>99</v>
      </c>
      <c r="B1" s="496" t="s">
        <v>72</v>
      </c>
      <c r="C1" s="498" t="s">
        <v>28</v>
      </c>
      <c r="D1" s="498" t="s">
        <v>100</v>
      </c>
      <c r="E1" s="498" t="s">
        <v>101</v>
      </c>
      <c r="F1" s="214" t="s">
        <v>31</v>
      </c>
      <c r="G1" s="214"/>
      <c r="H1" s="214" t="s">
        <v>73</v>
      </c>
      <c r="I1" s="214"/>
      <c r="J1" s="214" t="s">
        <v>76</v>
      </c>
      <c r="K1" s="214"/>
      <c r="L1" s="214"/>
      <c r="M1" s="492" t="s">
        <v>22</v>
      </c>
      <c r="N1" s="185"/>
      <c r="O1" s="185"/>
      <c r="P1" s="116"/>
      <c r="Q1" s="117"/>
      <c r="R1" s="117"/>
      <c r="S1" s="117"/>
      <c r="T1" s="117"/>
      <c r="U1" s="117"/>
      <c r="V1" s="117"/>
    </row>
    <row r="2" spans="1:22" ht="24.95" customHeight="1">
      <c r="A2" s="495"/>
      <c r="B2" s="497"/>
      <c r="C2" s="499"/>
      <c r="D2" s="499"/>
      <c r="E2" s="499"/>
      <c r="F2" s="220" t="s">
        <v>28</v>
      </c>
      <c r="G2" s="220" t="s">
        <v>35</v>
      </c>
      <c r="H2" s="221" t="s">
        <v>74</v>
      </c>
      <c r="I2" s="221" t="s">
        <v>75</v>
      </c>
      <c r="J2" s="221" t="s">
        <v>74</v>
      </c>
      <c r="K2" s="221" t="s">
        <v>75</v>
      </c>
      <c r="L2" s="221" t="s">
        <v>38</v>
      </c>
      <c r="M2" s="493"/>
      <c r="N2" s="186"/>
      <c r="O2" s="186"/>
      <c r="P2" s="118"/>
      <c r="Q2" s="119"/>
      <c r="R2" s="119"/>
      <c r="S2" s="119"/>
      <c r="T2" s="119"/>
      <c r="U2" s="119"/>
      <c r="V2" s="115"/>
    </row>
    <row r="3" spans="1:22" s="158" customFormat="1" ht="30" customHeight="1">
      <c r="A3" s="193"/>
      <c r="B3" s="231"/>
      <c r="C3" s="231"/>
      <c r="D3" s="228"/>
      <c r="E3" s="228"/>
      <c r="F3" s="194"/>
      <c r="G3" s="194"/>
      <c r="H3" s="232"/>
      <c r="I3" s="233"/>
      <c r="J3" s="196"/>
      <c r="K3" s="196"/>
      <c r="L3" s="196"/>
      <c r="M3" s="197"/>
      <c r="N3" s="187">
        <v>1</v>
      </c>
      <c r="O3" s="187" t="str">
        <f>IF(N3=1,"국",IF(N3=2,"공","사"))</f>
        <v>국</v>
      </c>
      <c r="P3" s="156" t="str">
        <f>CONCATENATE(C3,O3)</f>
        <v>국</v>
      </c>
      <c r="Q3" s="157"/>
      <c r="R3" s="157"/>
      <c r="S3" s="157"/>
      <c r="T3" s="157"/>
      <c r="U3" s="157"/>
      <c r="V3" s="157"/>
    </row>
    <row r="4" spans="1:22" s="158" customFormat="1" ht="30" customHeight="1">
      <c r="A4" s="193"/>
      <c r="B4" s="231"/>
      <c r="C4" s="231"/>
      <c r="D4" s="228"/>
      <c r="E4" s="228"/>
      <c r="F4" s="194"/>
      <c r="G4" s="194"/>
      <c r="H4" s="237"/>
      <c r="I4" s="233"/>
      <c r="J4" s="196"/>
      <c r="K4" s="196"/>
      <c r="L4" s="196"/>
      <c r="M4" s="197"/>
      <c r="N4" s="187">
        <v>3</v>
      </c>
      <c r="O4" s="187" t="str">
        <f>IF(N4=1,"국",IF(N4=2,"공","사"))</f>
        <v>사</v>
      </c>
      <c r="P4" s="156" t="str">
        <f>CONCATENATE(C4,O4)</f>
        <v>사</v>
      </c>
      <c r="Q4" s="157"/>
      <c r="R4" s="157"/>
      <c r="S4" s="157"/>
      <c r="T4" s="157"/>
      <c r="U4" s="157"/>
      <c r="V4" s="157"/>
    </row>
    <row r="5" spans="1:22" s="158" customFormat="1" ht="30" customHeight="1">
      <c r="A5" s="193"/>
      <c r="B5" s="231"/>
      <c r="C5" s="231"/>
      <c r="D5" s="229"/>
      <c r="E5" s="229"/>
      <c r="F5" s="194"/>
      <c r="G5" s="194"/>
      <c r="H5" s="232"/>
      <c r="I5" s="242"/>
      <c r="J5" s="196"/>
      <c r="K5" s="196"/>
      <c r="L5" s="196"/>
      <c r="M5" s="197"/>
      <c r="N5" s="187">
        <v>1</v>
      </c>
      <c r="O5" s="187" t="str">
        <f>IF(N5=1,"국",IF(N5=2,"공","사"))</f>
        <v>국</v>
      </c>
      <c r="P5" s="156" t="str">
        <f>CONCATENATE(C5,O5)</f>
        <v>국</v>
      </c>
      <c r="Q5" s="157"/>
      <c r="R5" s="157"/>
      <c r="S5" s="157"/>
      <c r="T5" s="157"/>
      <c r="U5" s="157"/>
      <c r="V5" s="157"/>
    </row>
    <row r="6" spans="1:22" s="158" customFormat="1" ht="30" customHeight="1">
      <c r="A6" s="193"/>
      <c r="B6" s="231"/>
      <c r="C6" s="231"/>
      <c r="D6" s="228"/>
      <c r="E6" s="228"/>
      <c r="F6" s="194"/>
      <c r="G6" s="194"/>
      <c r="H6" s="232"/>
      <c r="I6" s="242"/>
      <c r="J6" s="196"/>
      <c r="K6" s="196"/>
      <c r="L6" s="196"/>
      <c r="M6" s="197"/>
      <c r="N6" s="187">
        <v>2</v>
      </c>
      <c r="O6" s="187" t="str">
        <f>IF(N6=1,"국",IF(N6=2,"공","사"))</f>
        <v>공</v>
      </c>
      <c r="P6" s="156" t="str">
        <f>CONCATENATE(C6,O6)</f>
        <v>공</v>
      </c>
      <c r="Q6" s="157"/>
      <c r="R6" s="157"/>
      <c r="S6" s="157"/>
      <c r="T6" s="157"/>
      <c r="U6" s="157"/>
      <c r="V6" s="157"/>
    </row>
    <row r="7" spans="1:22" s="158" customFormat="1" ht="30" customHeight="1">
      <c r="A7" s="193"/>
      <c r="B7" s="231"/>
      <c r="C7" s="231"/>
      <c r="D7" s="228"/>
      <c r="E7" s="228"/>
      <c r="F7" s="194"/>
      <c r="G7" s="194"/>
      <c r="H7" s="232"/>
      <c r="I7" s="242"/>
      <c r="J7" s="196"/>
      <c r="K7" s="196"/>
      <c r="L7" s="196"/>
      <c r="M7" s="197"/>
      <c r="N7" s="187"/>
      <c r="O7" s="187"/>
      <c r="P7" s="156"/>
      <c r="Q7" s="157"/>
      <c r="R7" s="157"/>
      <c r="S7" s="157"/>
      <c r="T7" s="157"/>
      <c r="U7" s="157"/>
      <c r="V7" s="157"/>
    </row>
    <row r="8" spans="1:22" s="158" customFormat="1" ht="30" customHeight="1">
      <c r="A8" s="193"/>
      <c r="B8" s="231"/>
      <c r="C8" s="231"/>
      <c r="D8" s="228"/>
      <c r="E8" s="228"/>
      <c r="F8" s="194"/>
      <c r="G8" s="194"/>
      <c r="H8" s="232"/>
      <c r="I8" s="242"/>
      <c r="J8" s="196"/>
      <c r="K8" s="196"/>
      <c r="L8" s="196"/>
      <c r="M8" s="197"/>
      <c r="N8" s="187"/>
      <c r="O8" s="187"/>
      <c r="P8" s="156"/>
      <c r="Q8" s="157"/>
      <c r="R8" s="157"/>
      <c r="S8" s="157"/>
      <c r="T8" s="157"/>
      <c r="U8" s="157"/>
      <c r="V8" s="157"/>
    </row>
    <row r="9" spans="1:22" s="158" customFormat="1" ht="30" customHeight="1">
      <c r="A9" s="193"/>
      <c r="B9" s="231"/>
      <c r="C9" s="231"/>
      <c r="D9" s="228"/>
      <c r="E9" s="228"/>
      <c r="F9" s="194"/>
      <c r="G9" s="194"/>
      <c r="H9" s="232"/>
      <c r="I9" s="242"/>
      <c r="J9" s="196"/>
      <c r="K9" s="196"/>
      <c r="L9" s="196"/>
      <c r="M9" s="197"/>
      <c r="N9" s="187"/>
      <c r="O9" s="187"/>
      <c r="P9" s="156"/>
      <c r="Q9" s="157"/>
      <c r="R9" s="157"/>
      <c r="S9" s="157"/>
      <c r="T9" s="157"/>
      <c r="U9" s="157"/>
      <c r="V9" s="157"/>
    </row>
    <row r="10" spans="1:22" s="158" customFormat="1" ht="30" customHeight="1">
      <c r="A10" s="193"/>
      <c r="B10" s="231"/>
      <c r="C10" s="231"/>
      <c r="D10" s="228"/>
      <c r="E10" s="228"/>
      <c r="F10" s="194"/>
      <c r="G10" s="194"/>
      <c r="H10" s="232"/>
      <c r="I10" s="242"/>
      <c r="J10" s="196"/>
      <c r="K10" s="196"/>
      <c r="L10" s="196"/>
      <c r="M10" s="197"/>
      <c r="N10" s="187"/>
      <c r="O10" s="187"/>
      <c r="P10" s="156"/>
      <c r="Q10" s="157"/>
      <c r="R10" s="157"/>
      <c r="S10" s="157"/>
      <c r="T10" s="157"/>
      <c r="U10" s="157"/>
      <c r="V10" s="157"/>
    </row>
    <row r="11" spans="1:22" s="158" customFormat="1" ht="30" customHeight="1">
      <c r="A11" s="193"/>
      <c r="B11" s="231"/>
      <c r="C11" s="231"/>
      <c r="D11" s="228"/>
      <c r="E11" s="228"/>
      <c r="F11" s="194"/>
      <c r="G11" s="194"/>
      <c r="H11" s="232"/>
      <c r="I11" s="242"/>
      <c r="J11" s="196"/>
      <c r="K11" s="196"/>
      <c r="L11" s="196"/>
      <c r="M11" s="197"/>
      <c r="N11" s="187"/>
      <c r="O11" s="187"/>
      <c r="P11" s="156"/>
      <c r="Q11" s="157"/>
      <c r="R11" s="157"/>
      <c r="S11" s="157"/>
      <c r="T11" s="157"/>
      <c r="U11" s="157"/>
      <c r="V11" s="157"/>
    </row>
    <row r="12" spans="1:22" s="158" customFormat="1" ht="30" customHeight="1">
      <c r="A12" s="193"/>
      <c r="B12" s="231"/>
      <c r="C12" s="231"/>
      <c r="D12" s="228"/>
      <c r="E12" s="228"/>
      <c r="F12" s="194"/>
      <c r="G12" s="194"/>
      <c r="H12" s="232"/>
      <c r="I12" s="242"/>
      <c r="J12" s="196"/>
      <c r="K12" s="196"/>
      <c r="L12" s="196"/>
      <c r="M12" s="197"/>
      <c r="N12" s="187"/>
      <c r="O12" s="187"/>
      <c r="P12" s="156"/>
      <c r="Q12" s="157"/>
      <c r="R12" s="157"/>
      <c r="S12" s="157"/>
      <c r="T12" s="157"/>
      <c r="U12" s="157"/>
      <c r="V12" s="157"/>
    </row>
    <row r="13" spans="1:22" s="158" customFormat="1" ht="30" customHeight="1">
      <c r="A13" s="193"/>
      <c r="B13" s="231"/>
      <c r="C13" s="231"/>
      <c r="D13" s="228"/>
      <c r="E13" s="228"/>
      <c r="F13" s="194"/>
      <c r="G13" s="194"/>
      <c r="H13" s="232"/>
      <c r="I13" s="242"/>
      <c r="J13" s="196"/>
      <c r="K13" s="196"/>
      <c r="L13" s="196"/>
      <c r="M13" s="197"/>
      <c r="N13" s="187"/>
      <c r="O13" s="187"/>
      <c r="P13" s="156"/>
      <c r="Q13" s="157"/>
      <c r="R13" s="157"/>
      <c r="S13" s="157"/>
      <c r="T13" s="157"/>
      <c r="U13" s="157"/>
      <c r="V13" s="157"/>
    </row>
    <row r="14" spans="1:22" s="158" customFormat="1" ht="30" customHeight="1">
      <c r="A14" s="193"/>
      <c r="B14" s="231"/>
      <c r="C14" s="231"/>
      <c r="D14" s="228"/>
      <c r="E14" s="228"/>
      <c r="F14" s="194"/>
      <c r="G14" s="194"/>
      <c r="H14" s="232"/>
      <c r="I14" s="242"/>
      <c r="J14" s="196"/>
      <c r="K14" s="196"/>
      <c r="L14" s="196"/>
      <c r="M14" s="197"/>
      <c r="N14" s="187"/>
      <c r="O14" s="187"/>
      <c r="P14" s="156"/>
      <c r="Q14" s="157"/>
      <c r="R14" s="157"/>
      <c r="S14" s="157"/>
      <c r="T14" s="157"/>
      <c r="U14" s="157"/>
      <c r="V14" s="157"/>
    </row>
    <row r="15" spans="1:22" s="158" customFormat="1" ht="30" customHeight="1">
      <c r="A15" s="193"/>
      <c r="B15" s="231"/>
      <c r="C15" s="231"/>
      <c r="D15" s="228"/>
      <c r="E15" s="228"/>
      <c r="F15" s="194"/>
      <c r="G15" s="194"/>
      <c r="H15" s="232"/>
      <c r="I15" s="242"/>
      <c r="J15" s="196"/>
      <c r="K15" s="196"/>
      <c r="L15" s="196"/>
      <c r="M15" s="197"/>
      <c r="N15" s="187"/>
      <c r="O15" s="187"/>
      <c r="P15" s="156"/>
      <c r="Q15" s="157"/>
      <c r="R15" s="157"/>
      <c r="S15" s="157"/>
      <c r="T15" s="157"/>
      <c r="U15" s="157"/>
      <c r="V15" s="157"/>
    </row>
    <row r="16" spans="1:22" s="158" customFormat="1" ht="30" customHeight="1">
      <c r="A16" s="193"/>
      <c r="B16" s="204"/>
      <c r="C16" s="204"/>
      <c r="D16" s="205"/>
      <c r="E16" s="205"/>
      <c r="F16" s="194"/>
      <c r="G16" s="194"/>
      <c r="H16" s="206"/>
      <c r="I16" s="206"/>
      <c r="J16" s="196"/>
      <c r="K16" s="196"/>
      <c r="L16" s="196"/>
      <c r="M16" s="197"/>
      <c r="N16" s="187"/>
      <c r="O16" s="187"/>
      <c r="P16" s="156"/>
      <c r="Q16" s="157"/>
      <c r="R16" s="157"/>
      <c r="S16" s="157"/>
      <c r="T16" s="157"/>
      <c r="U16" s="157"/>
      <c r="V16" s="157"/>
    </row>
    <row r="17" spans="1:25" s="158" customFormat="1" ht="30" customHeight="1">
      <c r="A17" s="193"/>
      <c r="B17" s="204"/>
      <c r="C17" s="204"/>
      <c r="D17" s="205"/>
      <c r="E17" s="205"/>
      <c r="F17" s="194"/>
      <c r="G17" s="194"/>
      <c r="H17" s="206"/>
      <c r="I17" s="206"/>
      <c r="J17" s="196"/>
      <c r="K17" s="196"/>
      <c r="L17" s="196"/>
      <c r="M17" s="197"/>
      <c r="N17" s="187"/>
      <c r="O17" s="187"/>
      <c r="P17" s="156"/>
      <c r="Q17" s="157"/>
      <c r="R17" s="157"/>
      <c r="S17" s="157"/>
      <c r="T17" s="157"/>
      <c r="U17" s="157"/>
      <c r="V17" s="157"/>
    </row>
    <row r="18" spans="1:25" s="158" customFormat="1" ht="30" customHeight="1">
      <c r="A18" s="193"/>
      <c r="B18" s="204"/>
      <c r="C18" s="204"/>
      <c r="D18" s="205"/>
      <c r="E18" s="205"/>
      <c r="F18" s="194"/>
      <c r="G18" s="194"/>
      <c r="H18" s="206"/>
      <c r="I18" s="206"/>
      <c r="J18" s="196"/>
      <c r="K18" s="196"/>
      <c r="L18" s="196"/>
      <c r="M18" s="197"/>
      <c r="N18" s="187"/>
      <c r="O18" s="187"/>
      <c r="P18" s="156"/>
      <c r="Q18" s="157"/>
      <c r="R18" s="157"/>
      <c r="S18" s="157"/>
      <c r="T18" s="157"/>
      <c r="U18" s="157"/>
      <c r="V18" s="157"/>
    </row>
    <row r="19" spans="1:25" s="158" customFormat="1" ht="30" customHeight="1">
      <c r="A19" s="193"/>
      <c r="B19" s="204"/>
      <c r="C19" s="204"/>
      <c r="D19" s="205"/>
      <c r="E19" s="205"/>
      <c r="F19" s="194"/>
      <c r="G19" s="194"/>
      <c r="H19" s="206"/>
      <c r="I19" s="206"/>
      <c r="J19" s="196"/>
      <c r="K19" s="196"/>
      <c r="L19" s="196"/>
      <c r="M19" s="197"/>
      <c r="N19" s="187"/>
      <c r="O19" s="187"/>
      <c r="P19" s="156"/>
      <c r="Q19" s="157"/>
      <c r="R19" s="157"/>
      <c r="S19" s="157"/>
      <c r="T19" s="157"/>
      <c r="U19" s="157"/>
      <c r="V19" s="157"/>
    </row>
    <row r="20" spans="1:25" s="158" customFormat="1" ht="30" customHeight="1">
      <c r="A20" s="193"/>
      <c r="B20" s="204"/>
      <c r="C20" s="204"/>
      <c r="D20" s="205"/>
      <c r="E20" s="205"/>
      <c r="F20" s="194"/>
      <c r="G20" s="194"/>
      <c r="H20" s="206"/>
      <c r="I20" s="206"/>
      <c r="J20" s="196"/>
      <c r="K20" s="196"/>
      <c r="L20" s="196"/>
      <c r="M20" s="197"/>
      <c r="N20" s="187"/>
      <c r="O20" s="187"/>
      <c r="P20" s="156"/>
      <c r="Q20" s="157"/>
      <c r="R20" s="157"/>
      <c r="S20" s="157"/>
      <c r="T20" s="157"/>
      <c r="U20" s="157"/>
      <c r="V20" s="157"/>
    </row>
    <row r="21" spans="1:25" s="158" customFormat="1" ht="30" customHeight="1">
      <c r="A21" s="193"/>
      <c r="B21" s="207"/>
      <c r="C21" s="207"/>
      <c r="D21" s="205"/>
      <c r="E21" s="205"/>
      <c r="F21" s="194"/>
      <c r="G21" s="194"/>
      <c r="H21" s="208"/>
      <c r="I21" s="206"/>
      <c r="J21" s="196"/>
      <c r="K21" s="196"/>
      <c r="L21" s="196"/>
      <c r="M21" s="197"/>
      <c r="N21" s="187"/>
      <c r="O21" s="187"/>
      <c r="P21" s="156"/>
      <c r="Q21" s="157"/>
      <c r="R21" s="157"/>
      <c r="S21" s="157"/>
      <c r="T21" s="157"/>
      <c r="U21" s="157"/>
      <c r="V21" s="157"/>
    </row>
    <row r="22" spans="1:25" s="158" customFormat="1" ht="30" customHeight="1">
      <c r="A22" s="193"/>
      <c r="B22" s="204"/>
      <c r="C22" s="204"/>
      <c r="D22" s="205"/>
      <c r="E22" s="205"/>
      <c r="F22" s="194"/>
      <c r="G22" s="194"/>
      <c r="H22" s="206"/>
      <c r="I22" s="206"/>
      <c r="J22" s="196"/>
      <c r="K22" s="196"/>
      <c r="L22" s="196"/>
      <c r="M22" s="197"/>
      <c r="N22" s="187"/>
      <c r="O22" s="187"/>
      <c r="P22" s="156"/>
      <c r="Q22" s="157"/>
      <c r="R22" s="157"/>
      <c r="S22" s="157"/>
      <c r="T22" s="157"/>
      <c r="U22" s="157"/>
      <c r="V22" s="157"/>
    </row>
    <row r="23" spans="1:25" s="158" customFormat="1" ht="30" customHeight="1">
      <c r="A23" s="209" t="s">
        <v>102</v>
      </c>
      <c r="B23" s="210"/>
      <c r="C23" s="210"/>
      <c r="D23" s="211"/>
      <c r="E23" s="211">
        <f>SUBTOTAL(9,E3:E22)</f>
        <v>0</v>
      </c>
      <c r="F23" s="212"/>
      <c r="G23" s="212"/>
      <c r="H23" s="212"/>
      <c r="I23" s="212"/>
      <c r="J23" s="212"/>
      <c r="K23" s="212"/>
      <c r="L23" s="212"/>
      <c r="M23" s="213"/>
      <c r="N23" s="190"/>
      <c r="O23" s="190"/>
      <c r="P23" s="156" t="str">
        <f t="shared" ref="P23:P86" si="0">CONCATENATE(C23,H23)</f>
        <v/>
      </c>
      <c r="Q23" s="157"/>
      <c r="R23" s="157"/>
      <c r="S23" s="157"/>
      <c r="T23" s="157"/>
      <c r="U23" s="157"/>
      <c r="V23" s="157"/>
    </row>
    <row r="24" spans="1:25" ht="32.1" customHeight="1">
      <c r="A24" s="110"/>
      <c r="B24" s="91"/>
      <c r="C24" s="149"/>
      <c r="D24" s="153"/>
      <c r="E24" s="153"/>
      <c r="F24" s="90"/>
      <c r="G24" s="90"/>
      <c r="H24" s="90"/>
      <c r="I24" s="90"/>
      <c r="J24" s="90"/>
      <c r="K24" s="90"/>
      <c r="L24" s="90"/>
      <c r="M24" s="149"/>
      <c r="N24" s="192"/>
      <c r="O24" s="192"/>
      <c r="P24" s="111" t="str">
        <f t="shared" si="0"/>
        <v/>
      </c>
      <c r="Q24" s="112"/>
      <c r="R24" s="112"/>
      <c r="S24" s="112"/>
      <c r="T24" s="112"/>
      <c r="U24" s="112"/>
      <c r="V24" s="112"/>
    </row>
    <row r="25" spans="1:25" ht="32.1" customHeight="1">
      <c r="A25" s="110"/>
      <c r="B25" s="91"/>
      <c r="C25" s="149"/>
      <c r="D25" s="153"/>
      <c r="E25" s="153"/>
      <c r="F25" s="90"/>
      <c r="G25" s="90"/>
      <c r="H25" s="90"/>
      <c r="I25" s="90"/>
      <c r="J25" s="90"/>
      <c r="K25" s="90"/>
      <c r="L25" s="90"/>
      <c r="M25" s="149"/>
      <c r="N25" s="192"/>
      <c r="O25" s="192"/>
      <c r="P25" s="111" t="str">
        <f t="shared" si="0"/>
        <v/>
      </c>
      <c r="Q25" s="112"/>
      <c r="R25" s="112"/>
      <c r="S25" s="112"/>
      <c r="T25" s="112"/>
      <c r="U25" s="112"/>
      <c r="V25" s="114"/>
    </row>
    <row r="26" spans="1:25" ht="32.1" customHeight="1">
      <c r="A26" s="110"/>
      <c r="B26" s="91"/>
      <c r="C26" s="149"/>
      <c r="D26" s="153"/>
      <c r="E26" s="153"/>
      <c r="F26" s="90"/>
      <c r="G26" s="90"/>
      <c r="H26" s="90"/>
      <c r="I26" s="90"/>
      <c r="J26" s="90"/>
      <c r="K26" s="90"/>
      <c r="L26" s="90"/>
      <c r="M26" s="149"/>
      <c r="N26" s="192"/>
      <c r="O26" s="192"/>
      <c r="P26" s="111" t="str">
        <f t="shared" si="0"/>
        <v/>
      </c>
      <c r="Q26" s="112"/>
      <c r="R26" s="112"/>
      <c r="S26" s="112"/>
      <c r="T26" s="112"/>
      <c r="U26" s="112"/>
      <c r="V26" s="114"/>
    </row>
    <row r="27" spans="1:25" ht="32.1" customHeight="1">
      <c r="A27" s="110"/>
      <c r="B27" s="91"/>
      <c r="C27" s="149"/>
      <c r="D27" s="153"/>
      <c r="E27" s="153"/>
      <c r="F27" s="90"/>
      <c r="G27" s="90"/>
      <c r="H27" s="90"/>
      <c r="I27" s="90"/>
      <c r="J27" s="90"/>
      <c r="K27" s="90"/>
      <c r="L27" s="90"/>
      <c r="M27" s="149"/>
      <c r="N27" s="192"/>
      <c r="O27" s="192"/>
      <c r="P27" s="111" t="str">
        <f t="shared" si="0"/>
        <v/>
      </c>
      <c r="Q27" s="112"/>
      <c r="R27" s="112"/>
      <c r="S27" s="112"/>
      <c r="T27" s="112"/>
      <c r="U27" s="112"/>
      <c r="V27" s="114"/>
    </row>
    <row r="28" spans="1:25" ht="32.1" customHeight="1">
      <c r="A28" s="110"/>
      <c r="B28" s="91"/>
      <c r="C28" s="91"/>
      <c r="D28" s="153"/>
      <c r="E28" s="153"/>
      <c r="F28" s="90"/>
      <c r="G28" s="90"/>
      <c r="H28" s="90"/>
      <c r="I28" s="90"/>
      <c r="J28" s="90"/>
      <c r="K28" s="90"/>
      <c r="L28" s="90"/>
      <c r="M28" s="149"/>
      <c r="N28" s="192"/>
      <c r="O28" s="192"/>
      <c r="P28" s="111" t="str">
        <f t="shared" si="0"/>
        <v/>
      </c>
      <c r="Q28" s="112"/>
      <c r="R28" s="112"/>
      <c r="S28" s="112"/>
      <c r="T28" s="112"/>
      <c r="U28" s="112"/>
      <c r="V28" s="114"/>
    </row>
    <row r="29" spans="1:25" ht="32.1" customHeight="1">
      <c r="A29" s="110"/>
      <c r="B29" s="91"/>
      <c r="C29" s="91"/>
      <c r="D29" s="153"/>
      <c r="E29" s="153"/>
      <c r="F29" s="90"/>
      <c r="G29" s="90"/>
      <c r="H29" s="90"/>
      <c r="I29" s="90"/>
      <c r="J29" s="90"/>
      <c r="K29" s="90"/>
      <c r="L29" s="90"/>
      <c r="M29" s="149"/>
      <c r="N29" s="192"/>
      <c r="O29" s="192"/>
      <c r="P29" s="111" t="str">
        <f t="shared" si="0"/>
        <v/>
      </c>
      <c r="Q29" s="112"/>
      <c r="R29" s="112"/>
      <c r="S29" s="112"/>
      <c r="T29" s="112"/>
      <c r="U29" s="112"/>
      <c r="V29" s="120"/>
      <c r="W29" s="112"/>
      <c r="X29" s="112"/>
      <c r="Y29" s="112"/>
    </row>
    <row r="30" spans="1:25" ht="32.1" customHeight="1">
      <c r="D30" s="155"/>
      <c r="E30" s="154"/>
      <c r="M30" s="110"/>
      <c r="N30" s="151"/>
      <c r="O30" s="151"/>
      <c r="P30" s="111" t="str">
        <f t="shared" si="0"/>
        <v/>
      </c>
      <c r="Q30" s="112"/>
      <c r="R30" s="112"/>
      <c r="S30" s="112"/>
      <c r="T30" s="112"/>
      <c r="U30" s="112"/>
      <c r="V30" s="120"/>
      <c r="W30" s="112"/>
      <c r="X30" s="112"/>
      <c r="Y30" s="112"/>
    </row>
    <row r="31" spans="1:25" ht="32.1" customHeight="1">
      <c r="D31" s="155"/>
      <c r="E31" s="154"/>
      <c r="M31" s="90"/>
      <c r="N31" s="150"/>
      <c r="O31" s="150"/>
      <c r="P31" s="111" t="str">
        <f t="shared" si="0"/>
        <v/>
      </c>
      <c r="Q31" s="112"/>
      <c r="R31" s="112"/>
      <c r="S31" s="112"/>
      <c r="T31" s="112"/>
      <c r="U31" s="112"/>
      <c r="V31" s="112"/>
    </row>
    <row r="32" spans="1:25" ht="32.1" customHeight="1">
      <c r="D32" s="155"/>
      <c r="E32" s="154"/>
      <c r="M32" s="90"/>
      <c r="N32" s="150"/>
      <c r="O32" s="150"/>
      <c r="P32" s="111" t="str">
        <f t="shared" si="0"/>
        <v/>
      </c>
      <c r="Q32" s="112"/>
      <c r="R32" s="112"/>
      <c r="S32" s="112"/>
      <c r="T32" s="112"/>
      <c r="U32" s="112"/>
      <c r="V32" s="112"/>
    </row>
    <row r="33" spans="4:22" ht="32.1" customHeight="1">
      <c r="D33" s="155"/>
      <c r="E33" s="154"/>
      <c r="M33" s="90"/>
      <c r="N33" s="150"/>
      <c r="O33" s="150"/>
      <c r="P33" s="111" t="str">
        <f t="shared" si="0"/>
        <v/>
      </c>
      <c r="Q33" s="112"/>
      <c r="R33" s="112"/>
      <c r="S33" s="112"/>
      <c r="T33" s="112"/>
      <c r="U33" s="112"/>
      <c r="V33" s="112"/>
    </row>
    <row r="34" spans="4:22" ht="32.1" customHeight="1">
      <c r="D34" s="155"/>
      <c r="E34" s="154"/>
      <c r="M34" s="90"/>
      <c r="N34" s="150"/>
      <c r="O34" s="150"/>
      <c r="P34" s="111" t="str">
        <f t="shared" si="0"/>
        <v/>
      </c>
      <c r="Q34" s="112"/>
      <c r="R34" s="112"/>
      <c r="S34" s="112"/>
      <c r="T34" s="112"/>
      <c r="U34" s="112"/>
      <c r="V34" s="112"/>
    </row>
    <row r="35" spans="4:22" ht="32.1" customHeight="1">
      <c r="D35" s="155"/>
      <c r="E35" s="154"/>
      <c r="M35" s="90"/>
      <c r="N35" s="150"/>
      <c r="O35" s="150"/>
      <c r="P35" s="111" t="str">
        <f t="shared" si="0"/>
        <v/>
      </c>
      <c r="Q35" s="112"/>
      <c r="R35" s="112"/>
      <c r="S35" s="112"/>
      <c r="T35" s="112"/>
      <c r="U35" s="112"/>
      <c r="V35" s="112"/>
    </row>
    <row r="36" spans="4:22" ht="32.1" customHeight="1">
      <c r="D36" s="155"/>
      <c r="E36" s="154"/>
      <c r="M36" s="90"/>
      <c r="N36" s="150"/>
      <c r="O36" s="150"/>
      <c r="P36" s="111" t="str">
        <f t="shared" si="0"/>
        <v/>
      </c>
      <c r="Q36" s="112"/>
      <c r="R36" s="112"/>
      <c r="S36" s="112"/>
      <c r="T36" s="112"/>
      <c r="U36" s="112"/>
      <c r="V36" s="112"/>
    </row>
    <row r="37" spans="4:22" ht="32.1" customHeight="1">
      <c r="D37" s="155"/>
      <c r="E37" s="154"/>
      <c r="M37" s="90"/>
      <c r="N37" s="150"/>
      <c r="O37" s="150"/>
      <c r="P37" s="111" t="str">
        <f t="shared" si="0"/>
        <v/>
      </c>
      <c r="Q37" s="112"/>
      <c r="R37" s="112"/>
      <c r="S37" s="112"/>
      <c r="T37" s="112"/>
      <c r="U37" s="112"/>
      <c r="V37" s="112"/>
    </row>
    <row r="38" spans="4:22" ht="32.1" customHeight="1">
      <c r="D38" s="155"/>
      <c r="E38" s="154"/>
      <c r="M38" s="90"/>
      <c r="N38" s="150"/>
      <c r="O38" s="150"/>
      <c r="P38" s="111" t="str">
        <f t="shared" si="0"/>
        <v/>
      </c>
      <c r="Q38" s="112"/>
      <c r="R38" s="112"/>
      <c r="S38" s="112"/>
      <c r="T38" s="112"/>
      <c r="U38" s="112"/>
      <c r="V38" s="112"/>
    </row>
    <row r="39" spans="4:22" ht="32.1" customHeight="1">
      <c r="D39" s="155"/>
      <c r="E39" s="154"/>
      <c r="M39" s="90"/>
      <c r="N39" s="150"/>
      <c r="O39" s="150"/>
      <c r="P39" s="111" t="str">
        <f t="shared" si="0"/>
        <v/>
      </c>
      <c r="Q39" s="112"/>
      <c r="R39" s="112"/>
      <c r="S39" s="112"/>
      <c r="T39" s="112"/>
      <c r="U39" s="112"/>
      <c r="V39" s="112"/>
    </row>
    <row r="40" spans="4:22" ht="32.1" customHeight="1">
      <c r="D40" s="155"/>
      <c r="E40" s="154"/>
      <c r="M40" s="90"/>
      <c r="N40" s="150"/>
      <c r="O40" s="150"/>
      <c r="P40" s="111" t="str">
        <f t="shared" si="0"/>
        <v/>
      </c>
      <c r="Q40" s="112"/>
      <c r="R40" s="112"/>
      <c r="S40" s="112"/>
      <c r="T40" s="112"/>
      <c r="U40" s="112"/>
      <c r="V40" s="112"/>
    </row>
    <row r="41" spans="4:22" ht="32.1" customHeight="1">
      <c r="D41" s="155"/>
      <c r="E41" s="154"/>
      <c r="M41" s="90"/>
      <c r="N41" s="150"/>
      <c r="O41" s="150"/>
      <c r="P41" s="111" t="str">
        <f t="shared" si="0"/>
        <v/>
      </c>
      <c r="Q41" s="112"/>
      <c r="R41" s="112"/>
      <c r="S41" s="112"/>
      <c r="T41" s="112"/>
      <c r="U41" s="112"/>
      <c r="V41" s="112"/>
    </row>
    <row r="42" spans="4:22" ht="32.1" customHeight="1">
      <c r="D42" s="155"/>
      <c r="E42" s="154"/>
      <c r="M42" s="90"/>
      <c r="N42" s="150"/>
      <c r="O42" s="150"/>
      <c r="P42" s="111" t="str">
        <f t="shared" si="0"/>
        <v/>
      </c>
      <c r="Q42" s="112"/>
      <c r="R42" s="112"/>
      <c r="S42" s="112"/>
      <c r="T42" s="112"/>
      <c r="U42" s="112"/>
      <c r="V42" s="112"/>
    </row>
    <row r="43" spans="4:22" ht="32.1" customHeight="1">
      <c r="D43" s="155"/>
      <c r="E43" s="154"/>
      <c r="M43" s="90"/>
      <c r="N43" s="150"/>
      <c r="O43" s="150"/>
      <c r="P43" s="111" t="str">
        <f t="shared" si="0"/>
        <v/>
      </c>
      <c r="Q43" s="112"/>
      <c r="R43" s="112"/>
      <c r="S43" s="112"/>
      <c r="T43" s="112"/>
      <c r="U43" s="112"/>
      <c r="V43" s="112"/>
    </row>
    <row r="44" spans="4:22" ht="32.1" customHeight="1">
      <c r="D44" s="155"/>
      <c r="E44" s="154"/>
      <c r="M44" s="90"/>
      <c r="N44" s="150"/>
      <c r="O44" s="150"/>
      <c r="P44" s="111" t="str">
        <f t="shared" si="0"/>
        <v/>
      </c>
      <c r="Q44" s="112"/>
      <c r="R44" s="112"/>
      <c r="S44" s="112"/>
      <c r="T44" s="112"/>
      <c r="U44" s="112"/>
      <c r="V44" s="112"/>
    </row>
    <row r="45" spans="4:22" ht="32.1" customHeight="1">
      <c r="D45" s="155"/>
      <c r="E45" s="154"/>
      <c r="M45" s="90"/>
      <c r="N45" s="150"/>
      <c r="O45" s="150"/>
      <c r="P45" s="111" t="str">
        <f t="shared" si="0"/>
        <v/>
      </c>
      <c r="Q45" s="112"/>
      <c r="R45" s="112"/>
      <c r="S45" s="112"/>
      <c r="T45" s="112"/>
      <c r="U45" s="112"/>
      <c r="V45" s="112"/>
    </row>
    <row r="46" spans="4:22" ht="32.1" customHeight="1">
      <c r="D46" s="155"/>
      <c r="E46" s="154"/>
      <c r="M46" s="90"/>
      <c r="N46" s="150"/>
      <c r="O46" s="150"/>
      <c r="P46" s="111" t="str">
        <f t="shared" si="0"/>
        <v/>
      </c>
      <c r="Q46" s="112"/>
      <c r="R46" s="112"/>
      <c r="S46" s="112"/>
      <c r="T46" s="112"/>
      <c r="U46" s="112"/>
      <c r="V46" s="114"/>
    </row>
    <row r="47" spans="4:22" ht="32.1" customHeight="1">
      <c r="D47" s="155"/>
      <c r="E47" s="154"/>
      <c r="M47" s="90"/>
      <c r="N47" s="150"/>
      <c r="O47" s="150"/>
      <c r="P47" s="111" t="str">
        <f t="shared" si="0"/>
        <v/>
      </c>
      <c r="Q47" s="112"/>
      <c r="R47" s="112"/>
      <c r="S47" s="112"/>
      <c r="T47" s="112"/>
      <c r="U47" s="112"/>
      <c r="V47" s="114"/>
    </row>
    <row r="48" spans="4:22" ht="32.1" customHeight="1">
      <c r="D48" s="155"/>
      <c r="E48" s="154"/>
      <c r="M48" s="90"/>
      <c r="N48" s="150"/>
      <c r="O48" s="150"/>
      <c r="P48" s="111" t="str">
        <f t="shared" si="0"/>
        <v/>
      </c>
      <c r="Q48" s="112"/>
      <c r="R48" s="112"/>
      <c r="S48" s="112"/>
      <c r="T48" s="112"/>
      <c r="U48" s="112"/>
      <c r="V48" s="114"/>
    </row>
    <row r="49" spans="4:25" ht="32.1" customHeight="1">
      <c r="D49" s="155"/>
      <c r="E49" s="154"/>
      <c r="M49" s="90"/>
      <c r="N49" s="150"/>
      <c r="O49" s="150"/>
      <c r="P49" s="111" t="str">
        <f t="shared" si="0"/>
        <v/>
      </c>
      <c r="Q49" s="112"/>
      <c r="R49" s="112"/>
      <c r="S49" s="112"/>
      <c r="T49" s="112"/>
      <c r="U49" s="112"/>
      <c r="V49" s="114"/>
    </row>
    <row r="50" spans="4:25" ht="32.1" customHeight="1">
      <c r="D50" s="155"/>
      <c r="E50" s="154"/>
      <c r="M50" s="90"/>
      <c r="N50" s="150"/>
      <c r="O50" s="150"/>
      <c r="P50" s="111" t="str">
        <f t="shared" si="0"/>
        <v/>
      </c>
      <c r="Q50" s="112"/>
      <c r="R50" s="112"/>
      <c r="S50" s="112"/>
      <c r="T50" s="112"/>
      <c r="U50" s="112"/>
      <c r="V50" s="120"/>
      <c r="W50" s="112"/>
      <c r="X50" s="112"/>
      <c r="Y50" s="112"/>
    </row>
    <row r="51" spans="4:25" ht="32.1" customHeight="1">
      <c r="D51" s="155"/>
      <c r="E51" s="154"/>
      <c r="M51" s="110"/>
      <c r="N51" s="151"/>
      <c r="O51" s="151"/>
      <c r="P51" s="111" t="str">
        <f t="shared" si="0"/>
        <v/>
      </c>
      <c r="Q51" s="112"/>
      <c r="R51" s="112"/>
      <c r="S51" s="112"/>
      <c r="T51" s="112"/>
      <c r="U51" s="112"/>
      <c r="V51" s="120"/>
      <c r="W51" s="112"/>
      <c r="X51" s="112"/>
      <c r="Y51" s="112"/>
    </row>
    <row r="52" spans="4:25" ht="32.1" customHeight="1">
      <c r="D52" s="155"/>
      <c r="E52" s="154"/>
      <c r="P52" s="111" t="str">
        <f t="shared" si="0"/>
        <v/>
      </c>
      <c r="Q52" s="112"/>
      <c r="R52" s="112"/>
      <c r="S52" s="112"/>
      <c r="T52" s="112"/>
      <c r="U52" s="112"/>
      <c r="V52" s="112"/>
    </row>
    <row r="53" spans="4:25" ht="32.1" customHeight="1">
      <c r="D53" s="155"/>
      <c r="E53" s="154"/>
      <c r="P53" s="111" t="str">
        <f t="shared" si="0"/>
        <v/>
      </c>
      <c r="Q53" s="112"/>
      <c r="R53" s="112"/>
      <c r="S53" s="112"/>
      <c r="T53" s="112"/>
      <c r="U53" s="112"/>
      <c r="V53" s="112"/>
    </row>
    <row r="54" spans="4:25" ht="32.1" customHeight="1">
      <c r="D54" s="155"/>
      <c r="E54" s="154"/>
      <c r="P54" s="111" t="str">
        <f t="shared" si="0"/>
        <v/>
      </c>
      <c r="Q54" s="112"/>
      <c r="R54" s="112"/>
      <c r="S54" s="112"/>
      <c r="T54" s="112"/>
      <c r="U54" s="112"/>
      <c r="V54" s="112"/>
    </row>
    <row r="55" spans="4:25" ht="32.1" customHeight="1">
      <c r="D55" s="155"/>
      <c r="E55" s="154"/>
      <c r="P55" s="111" t="str">
        <f t="shared" si="0"/>
        <v/>
      </c>
      <c r="Q55" s="112"/>
      <c r="R55" s="112"/>
      <c r="S55" s="112"/>
      <c r="T55" s="112"/>
      <c r="U55" s="112"/>
      <c r="V55" s="112"/>
    </row>
    <row r="56" spans="4:25" ht="32.1" customHeight="1">
      <c r="D56" s="155"/>
      <c r="E56" s="154"/>
      <c r="P56" s="111" t="str">
        <f t="shared" si="0"/>
        <v/>
      </c>
      <c r="Q56" s="112"/>
      <c r="R56" s="112"/>
      <c r="S56" s="112"/>
      <c r="T56" s="112"/>
      <c r="U56" s="112"/>
      <c r="V56" s="112"/>
    </row>
    <row r="57" spans="4:25" ht="32.1" customHeight="1">
      <c r="D57" s="155"/>
      <c r="E57" s="154"/>
      <c r="P57" s="111" t="str">
        <f t="shared" si="0"/>
        <v/>
      </c>
      <c r="Q57" s="112"/>
      <c r="R57" s="112"/>
      <c r="S57" s="112"/>
      <c r="T57" s="112"/>
      <c r="U57" s="112"/>
      <c r="V57" s="112"/>
    </row>
    <row r="58" spans="4:25" ht="32.1" customHeight="1">
      <c r="D58" s="155"/>
      <c r="E58" s="154"/>
      <c r="P58" s="111" t="str">
        <f t="shared" si="0"/>
        <v/>
      </c>
      <c r="Q58" s="112"/>
      <c r="R58" s="112"/>
      <c r="S58" s="112"/>
      <c r="T58" s="112"/>
      <c r="U58" s="112"/>
      <c r="V58" s="112"/>
    </row>
    <row r="59" spans="4:25" ht="32.1" customHeight="1">
      <c r="D59" s="155"/>
      <c r="E59" s="154"/>
      <c r="P59" s="111" t="str">
        <f t="shared" si="0"/>
        <v/>
      </c>
      <c r="Q59" s="112"/>
      <c r="R59" s="112"/>
      <c r="S59" s="112"/>
      <c r="T59" s="112"/>
      <c r="U59" s="112"/>
      <c r="V59" s="112"/>
    </row>
    <row r="60" spans="4:25" ht="32.1" customHeight="1">
      <c r="D60" s="155"/>
      <c r="E60" s="154"/>
      <c r="P60" s="111" t="str">
        <f t="shared" si="0"/>
        <v/>
      </c>
      <c r="Q60" s="112"/>
      <c r="R60" s="112"/>
      <c r="S60" s="112"/>
      <c r="T60" s="112"/>
      <c r="U60" s="112"/>
      <c r="V60" s="112"/>
    </row>
    <row r="61" spans="4:25" ht="32.1" customHeight="1">
      <c r="D61" s="155"/>
      <c r="E61" s="154"/>
      <c r="P61" s="111" t="str">
        <f t="shared" si="0"/>
        <v/>
      </c>
      <c r="Q61" s="112"/>
      <c r="R61" s="112"/>
      <c r="S61" s="112"/>
      <c r="T61" s="112"/>
      <c r="U61" s="112"/>
      <c r="V61" s="112"/>
    </row>
    <row r="62" spans="4:25" ht="32.1" customHeight="1">
      <c r="D62" s="155"/>
      <c r="E62" s="154"/>
      <c r="P62" s="111" t="str">
        <f t="shared" si="0"/>
        <v/>
      </c>
      <c r="Q62" s="112"/>
      <c r="R62" s="112"/>
      <c r="S62" s="112"/>
      <c r="T62" s="112"/>
      <c r="U62" s="112"/>
      <c r="V62" s="112"/>
    </row>
    <row r="63" spans="4:25" ht="32.1" customHeight="1">
      <c r="D63" s="155"/>
      <c r="E63" s="154"/>
      <c r="P63" s="111" t="str">
        <f t="shared" si="0"/>
        <v/>
      </c>
      <c r="Q63" s="112"/>
      <c r="R63" s="112"/>
      <c r="S63" s="112"/>
      <c r="T63" s="112"/>
      <c r="U63" s="112"/>
      <c r="V63" s="112"/>
    </row>
    <row r="64" spans="4:25" ht="32.1" customHeight="1">
      <c r="D64" s="155"/>
      <c r="E64" s="154"/>
      <c r="P64" s="111" t="str">
        <f t="shared" si="0"/>
        <v/>
      </c>
      <c r="Q64" s="112"/>
      <c r="R64" s="112"/>
      <c r="S64" s="112"/>
      <c r="T64" s="112"/>
      <c r="U64" s="112"/>
      <c r="V64" s="112"/>
    </row>
    <row r="65" spans="4:25" ht="32.1" customHeight="1">
      <c r="D65" s="155"/>
      <c r="E65" s="154"/>
      <c r="P65" s="111" t="str">
        <f t="shared" si="0"/>
        <v/>
      </c>
      <c r="Q65" s="112"/>
      <c r="R65" s="112"/>
      <c r="S65" s="112"/>
      <c r="T65" s="112"/>
      <c r="U65" s="112"/>
      <c r="V65" s="112"/>
    </row>
    <row r="66" spans="4:25" ht="32.1" customHeight="1">
      <c r="D66" s="155"/>
      <c r="E66" s="154"/>
      <c r="P66" s="111" t="str">
        <f t="shared" si="0"/>
        <v/>
      </c>
      <c r="Q66" s="112"/>
      <c r="R66" s="112"/>
      <c r="S66" s="112"/>
      <c r="T66" s="112"/>
      <c r="U66" s="112"/>
      <c r="V66" s="112"/>
    </row>
    <row r="67" spans="4:25" ht="32.1" customHeight="1">
      <c r="D67" s="155"/>
      <c r="E67" s="154"/>
      <c r="P67" s="111" t="str">
        <f t="shared" si="0"/>
        <v/>
      </c>
      <c r="Q67" s="112"/>
      <c r="R67" s="112"/>
      <c r="S67" s="112"/>
      <c r="T67" s="112"/>
      <c r="U67" s="112"/>
      <c r="V67" s="114"/>
    </row>
    <row r="68" spans="4:25" ht="32.1" customHeight="1">
      <c r="D68" s="155"/>
      <c r="E68" s="154"/>
      <c r="P68" s="111" t="str">
        <f t="shared" si="0"/>
        <v/>
      </c>
      <c r="Q68" s="112"/>
      <c r="R68" s="112"/>
      <c r="S68" s="112"/>
      <c r="T68" s="112"/>
      <c r="U68" s="112"/>
      <c r="V68" s="114"/>
    </row>
    <row r="69" spans="4:25" ht="32.1" customHeight="1">
      <c r="D69" s="155"/>
      <c r="E69" s="154"/>
      <c r="P69" s="111" t="str">
        <f t="shared" si="0"/>
        <v/>
      </c>
      <c r="Q69" s="112"/>
      <c r="R69" s="112"/>
      <c r="S69" s="112"/>
      <c r="T69" s="112"/>
      <c r="U69" s="112"/>
      <c r="V69" s="114"/>
    </row>
    <row r="70" spans="4:25" ht="32.1" customHeight="1">
      <c r="D70" s="155"/>
      <c r="E70" s="154"/>
      <c r="P70" s="111" t="str">
        <f t="shared" si="0"/>
        <v/>
      </c>
      <c r="Q70" s="112"/>
      <c r="R70" s="112"/>
      <c r="S70" s="112"/>
      <c r="T70" s="112"/>
      <c r="U70" s="112"/>
      <c r="V70" s="114"/>
    </row>
    <row r="71" spans="4:25" ht="32.1" customHeight="1">
      <c r="D71" s="155"/>
      <c r="E71" s="154"/>
      <c r="P71" s="111" t="str">
        <f t="shared" si="0"/>
        <v/>
      </c>
      <c r="Q71" s="112"/>
      <c r="R71" s="112"/>
      <c r="S71" s="112"/>
      <c r="T71" s="112"/>
      <c r="U71" s="112"/>
      <c r="V71" s="120"/>
      <c r="W71" s="112"/>
      <c r="X71" s="112"/>
      <c r="Y71" s="112"/>
    </row>
    <row r="72" spans="4:25" ht="32.1" customHeight="1">
      <c r="D72" s="155"/>
      <c r="E72" s="154"/>
      <c r="P72" s="111" t="str">
        <f t="shared" si="0"/>
        <v/>
      </c>
      <c r="Q72" s="112"/>
      <c r="R72" s="112"/>
      <c r="S72" s="112"/>
      <c r="T72" s="112"/>
      <c r="U72" s="112"/>
      <c r="V72" s="120"/>
      <c r="W72" s="112"/>
      <c r="X72" s="112"/>
      <c r="Y72" s="112"/>
    </row>
    <row r="73" spans="4:25" ht="32.1" customHeight="1">
      <c r="D73" s="155"/>
      <c r="E73" s="154"/>
      <c r="P73" s="111" t="str">
        <f t="shared" si="0"/>
        <v/>
      </c>
      <c r="Q73" s="112"/>
      <c r="R73" s="112"/>
      <c r="S73" s="112"/>
      <c r="T73" s="112"/>
      <c r="U73" s="112"/>
      <c r="V73" s="112"/>
    </row>
    <row r="74" spans="4:25" ht="32.1" customHeight="1">
      <c r="D74" s="155"/>
      <c r="E74" s="154"/>
      <c r="P74" s="111" t="str">
        <f t="shared" si="0"/>
        <v/>
      </c>
      <c r="Q74" s="112"/>
      <c r="R74" s="112"/>
      <c r="S74" s="112"/>
      <c r="T74" s="112"/>
      <c r="U74" s="112"/>
      <c r="V74" s="112"/>
    </row>
    <row r="75" spans="4:25" ht="32.1" customHeight="1">
      <c r="D75" s="155"/>
      <c r="E75" s="154"/>
      <c r="P75" s="111" t="str">
        <f t="shared" si="0"/>
        <v/>
      </c>
      <c r="Q75" s="112"/>
      <c r="R75" s="112"/>
      <c r="S75" s="112"/>
      <c r="T75" s="112"/>
      <c r="U75" s="112"/>
      <c r="V75" s="112"/>
    </row>
    <row r="76" spans="4:25" ht="32.1" customHeight="1">
      <c r="D76" s="155"/>
      <c r="E76" s="154"/>
      <c r="P76" s="111" t="str">
        <f t="shared" si="0"/>
        <v/>
      </c>
      <c r="Q76" s="112"/>
      <c r="R76" s="112"/>
      <c r="S76" s="112"/>
      <c r="T76" s="112"/>
      <c r="U76" s="112"/>
      <c r="V76" s="112"/>
    </row>
    <row r="77" spans="4:25" ht="32.1" customHeight="1">
      <c r="D77" s="155"/>
      <c r="E77" s="154"/>
      <c r="P77" s="111" t="str">
        <f t="shared" si="0"/>
        <v/>
      </c>
      <c r="Q77" s="112"/>
      <c r="R77" s="112"/>
      <c r="S77" s="112"/>
      <c r="T77" s="112"/>
      <c r="U77" s="112"/>
      <c r="V77" s="112"/>
    </row>
    <row r="78" spans="4:25" ht="32.1" customHeight="1">
      <c r="D78" s="155"/>
      <c r="E78" s="154"/>
      <c r="P78" s="111" t="str">
        <f t="shared" si="0"/>
        <v/>
      </c>
      <c r="Q78" s="112"/>
      <c r="R78" s="112"/>
      <c r="S78" s="112"/>
      <c r="T78" s="112"/>
      <c r="U78" s="112"/>
      <c r="V78" s="112"/>
    </row>
    <row r="79" spans="4:25" ht="32.1" customHeight="1">
      <c r="D79" s="155"/>
      <c r="E79" s="154"/>
      <c r="P79" s="111" t="str">
        <f t="shared" si="0"/>
        <v/>
      </c>
      <c r="Q79" s="112"/>
      <c r="R79" s="112"/>
      <c r="S79" s="112"/>
      <c r="T79" s="112"/>
      <c r="U79" s="112"/>
      <c r="V79" s="112"/>
    </row>
    <row r="80" spans="4:25" ht="32.1" customHeight="1">
      <c r="D80" s="155"/>
      <c r="E80" s="154"/>
      <c r="P80" s="111" t="str">
        <f t="shared" si="0"/>
        <v/>
      </c>
      <c r="Q80" s="112"/>
      <c r="R80" s="112"/>
      <c r="S80" s="112"/>
      <c r="T80" s="112"/>
      <c r="U80" s="112"/>
      <c r="V80" s="112"/>
    </row>
    <row r="81" spans="4:25" ht="32.1" customHeight="1">
      <c r="D81" s="155"/>
      <c r="E81" s="154"/>
      <c r="P81" s="111" t="str">
        <f t="shared" si="0"/>
        <v/>
      </c>
      <c r="Q81" s="112"/>
      <c r="R81" s="112"/>
      <c r="S81" s="112"/>
      <c r="T81" s="112"/>
      <c r="U81" s="112"/>
      <c r="V81" s="112"/>
    </row>
    <row r="82" spans="4:25" ht="32.1" customHeight="1">
      <c r="D82" s="155"/>
      <c r="E82" s="154"/>
      <c r="P82" s="111" t="str">
        <f t="shared" si="0"/>
        <v/>
      </c>
      <c r="Q82" s="112"/>
      <c r="R82" s="112"/>
      <c r="S82" s="112"/>
      <c r="T82" s="112"/>
      <c r="U82" s="112"/>
      <c r="V82" s="112"/>
    </row>
    <row r="83" spans="4:25" ht="32.1" customHeight="1">
      <c r="D83" s="155"/>
      <c r="E83" s="154"/>
      <c r="P83" s="111" t="str">
        <f t="shared" si="0"/>
        <v/>
      </c>
      <c r="Q83" s="112"/>
      <c r="R83" s="112"/>
      <c r="S83" s="112"/>
      <c r="T83" s="112"/>
      <c r="U83" s="112"/>
      <c r="V83" s="112"/>
    </row>
    <row r="84" spans="4:25" ht="32.1" customHeight="1">
      <c r="D84" s="155"/>
      <c r="E84" s="154"/>
      <c r="P84" s="111" t="str">
        <f t="shared" si="0"/>
        <v/>
      </c>
      <c r="Q84" s="112"/>
      <c r="R84" s="112"/>
      <c r="S84" s="112"/>
      <c r="T84" s="112"/>
      <c r="U84" s="112"/>
      <c r="V84" s="112"/>
    </row>
    <row r="85" spans="4:25" ht="32.1" customHeight="1">
      <c r="D85" s="155"/>
      <c r="E85" s="154"/>
      <c r="P85" s="111" t="str">
        <f t="shared" si="0"/>
        <v/>
      </c>
      <c r="Q85" s="112"/>
      <c r="R85" s="112"/>
      <c r="S85" s="112"/>
      <c r="T85" s="112"/>
      <c r="U85" s="112"/>
      <c r="V85" s="112"/>
    </row>
    <row r="86" spans="4:25" ht="32.1" customHeight="1">
      <c r="D86" s="155"/>
      <c r="E86" s="154"/>
      <c r="P86" s="111" t="str">
        <f t="shared" si="0"/>
        <v/>
      </c>
      <c r="Q86" s="112"/>
      <c r="R86" s="112"/>
      <c r="S86" s="112"/>
      <c r="T86" s="112"/>
      <c r="U86" s="112"/>
      <c r="V86" s="112"/>
    </row>
    <row r="87" spans="4:25" ht="32.1" customHeight="1">
      <c r="D87" s="155"/>
      <c r="E87" s="154"/>
      <c r="P87" s="111" t="str">
        <f t="shared" ref="P87:P150" si="1">CONCATENATE(C87,H87)</f>
        <v/>
      </c>
      <c r="Q87" s="112"/>
      <c r="R87" s="112"/>
      <c r="S87" s="112"/>
      <c r="T87" s="112"/>
      <c r="U87" s="112"/>
      <c r="V87" s="112"/>
    </row>
    <row r="88" spans="4:25" ht="32.1" customHeight="1">
      <c r="D88" s="155"/>
      <c r="E88" s="154"/>
      <c r="P88" s="111" t="str">
        <f t="shared" si="1"/>
        <v/>
      </c>
      <c r="Q88" s="112"/>
      <c r="R88" s="112"/>
      <c r="S88" s="112"/>
      <c r="T88" s="112"/>
      <c r="U88" s="112"/>
      <c r="V88" s="114"/>
    </row>
    <row r="89" spans="4:25" ht="32.1" customHeight="1">
      <c r="D89" s="155"/>
      <c r="E89" s="154"/>
      <c r="P89" s="111" t="str">
        <f t="shared" si="1"/>
        <v/>
      </c>
      <c r="Q89" s="112"/>
      <c r="R89" s="112"/>
      <c r="S89" s="112"/>
      <c r="T89" s="112"/>
      <c r="U89" s="112"/>
      <c r="V89" s="114"/>
    </row>
    <row r="90" spans="4:25" ht="32.1" customHeight="1">
      <c r="D90" s="155"/>
      <c r="E90" s="154"/>
      <c r="P90" s="111" t="str">
        <f t="shared" si="1"/>
        <v/>
      </c>
      <c r="Q90" s="112"/>
      <c r="R90" s="112"/>
      <c r="S90" s="112"/>
      <c r="T90" s="112"/>
      <c r="U90" s="112"/>
      <c r="V90" s="114"/>
    </row>
    <row r="91" spans="4:25" ht="32.1" customHeight="1">
      <c r="D91" s="155"/>
      <c r="E91" s="154"/>
      <c r="P91" s="111" t="str">
        <f t="shared" si="1"/>
        <v/>
      </c>
      <c r="Q91" s="112"/>
      <c r="R91" s="112"/>
      <c r="S91" s="112"/>
      <c r="T91" s="112"/>
      <c r="U91" s="112"/>
      <c r="V91" s="114"/>
    </row>
    <row r="92" spans="4:25" ht="32.1" customHeight="1">
      <c r="D92" s="155"/>
      <c r="E92" s="154"/>
      <c r="P92" s="111" t="str">
        <f t="shared" si="1"/>
        <v/>
      </c>
      <c r="Q92" s="112"/>
      <c r="R92" s="112"/>
      <c r="S92" s="112"/>
      <c r="T92" s="112"/>
      <c r="U92" s="112"/>
      <c r="V92" s="120"/>
      <c r="W92" s="112"/>
      <c r="X92" s="112"/>
      <c r="Y92" s="112"/>
    </row>
    <row r="93" spans="4:25" ht="32.1" customHeight="1">
      <c r="D93" s="155"/>
      <c r="E93" s="154"/>
      <c r="P93" s="111" t="str">
        <f t="shared" si="1"/>
        <v/>
      </c>
      <c r="Q93" s="112"/>
      <c r="R93" s="112"/>
      <c r="S93" s="112"/>
      <c r="T93" s="112"/>
      <c r="U93" s="112"/>
      <c r="V93" s="120"/>
      <c r="W93" s="112"/>
      <c r="X93" s="112"/>
      <c r="Y93" s="112"/>
    </row>
    <row r="94" spans="4:25" ht="32.1" customHeight="1">
      <c r="D94" s="155"/>
      <c r="E94" s="154"/>
      <c r="P94" s="111" t="str">
        <f t="shared" si="1"/>
        <v/>
      </c>
      <c r="Q94" s="112"/>
      <c r="R94" s="112"/>
      <c r="S94" s="112"/>
      <c r="T94" s="112"/>
      <c r="U94" s="112"/>
      <c r="V94" s="112"/>
    </row>
    <row r="95" spans="4:25" ht="32.1" customHeight="1">
      <c r="D95" s="155"/>
      <c r="E95" s="154"/>
      <c r="P95" s="111" t="str">
        <f t="shared" si="1"/>
        <v/>
      </c>
      <c r="Q95" s="112"/>
      <c r="R95" s="112"/>
      <c r="S95" s="112"/>
      <c r="T95" s="112"/>
      <c r="U95" s="112"/>
      <c r="V95" s="112"/>
    </row>
    <row r="96" spans="4:25" ht="32.1" customHeight="1">
      <c r="D96" s="155"/>
      <c r="E96" s="154"/>
      <c r="P96" s="111" t="str">
        <f t="shared" si="1"/>
        <v/>
      </c>
      <c r="Q96" s="112"/>
      <c r="R96" s="112"/>
      <c r="S96" s="112"/>
      <c r="T96" s="112"/>
      <c r="U96" s="112"/>
      <c r="V96" s="112"/>
    </row>
    <row r="97" spans="4:22" ht="32.1" customHeight="1">
      <c r="D97" s="155"/>
      <c r="E97" s="154"/>
      <c r="P97" s="111" t="str">
        <f t="shared" si="1"/>
        <v/>
      </c>
      <c r="Q97" s="112"/>
      <c r="R97" s="112"/>
      <c r="S97" s="112"/>
      <c r="T97" s="112"/>
      <c r="U97" s="112"/>
      <c r="V97" s="112"/>
    </row>
    <row r="98" spans="4:22" ht="32.1" customHeight="1">
      <c r="D98" s="155"/>
      <c r="E98" s="154"/>
      <c r="P98" s="111" t="str">
        <f t="shared" si="1"/>
        <v/>
      </c>
      <c r="Q98" s="112"/>
      <c r="R98" s="112"/>
      <c r="S98" s="112"/>
      <c r="T98" s="112"/>
      <c r="U98" s="112"/>
      <c r="V98" s="112"/>
    </row>
    <row r="99" spans="4:22" ht="32.1" customHeight="1">
      <c r="D99" s="155"/>
      <c r="E99" s="154"/>
      <c r="P99" s="111" t="str">
        <f t="shared" si="1"/>
        <v/>
      </c>
      <c r="Q99" s="112"/>
      <c r="R99" s="112"/>
      <c r="S99" s="112"/>
      <c r="T99" s="112"/>
      <c r="U99" s="112"/>
      <c r="V99" s="112"/>
    </row>
    <row r="100" spans="4:22" ht="32.1" customHeight="1">
      <c r="D100" s="155"/>
      <c r="E100" s="154"/>
      <c r="P100" s="111" t="str">
        <f t="shared" si="1"/>
        <v/>
      </c>
      <c r="Q100" s="112"/>
      <c r="R100" s="112"/>
      <c r="S100" s="112"/>
      <c r="T100" s="112"/>
      <c r="U100" s="112"/>
      <c r="V100" s="112"/>
    </row>
    <row r="101" spans="4:22" ht="32.1" customHeight="1">
      <c r="D101" s="155"/>
      <c r="E101" s="154"/>
      <c r="P101" s="111" t="str">
        <f t="shared" si="1"/>
        <v/>
      </c>
      <c r="Q101" s="112"/>
      <c r="R101" s="112"/>
      <c r="S101" s="112"/>
      <c r="T101" s="112"/>
      <c r="U101" s="112"/>
      <c r="V101" s="112"/>
    </row>
    <row r="102" spans="4:22" ht="32.1" customHeight="1">
      <c r="D102" s="155"/>
      <c r="E102" s="154"/>
      <c r="P102" s="111" t="str">
        <f t="shared" si="1"/>
        <v/>
      </c>
      <c r="Q102" s="112"/>
      <c r="R102" s="112"/>
      <c r="S102" s="112"/>
      <c r="T102" s="112"/>
      <c r="U102" s="112"/>
      <c r="V102" s="112"/>
    </row>
    <row r="103" spans="4:22" ht="32.1" customHeight="1">
      <c r="D103" s="155"/>
      <c r="E103" s="154"/>
      <c r="P103" s="111" t="str">
        <f t="shared" si="1"/>
        <v/>
      </c>
      <c r="Q103" s="112"/>
      <c r="R103" s="112"/>
      <c r="S103" s="112"/>
      <c r="T103" s="112"/>
      <c r="U103" s="112"/>
      <c r="V103" s="112"/>
    </row>
    <row r="104" spans="4:22" ht="32.1" customHeight="1">
      <c r="D104" s="155"/>
      <c r="E104" s="154"/>
      <c r="P104" s="111" t="str">
        <f t="shared" si="1"/>
        <v/>
      </c>
      <c r="Q104" s="112"/>
      <c r="R104" s="112"/>
      <c r="S104" s="112"/>
      <c r="T104" s="112"/>
      <c r="U104" s="112"/>
      <c r="V104" s="112"/>
    </row>
    <row r="105" spans="4:22" ht="32.1" customHeight="1">
      <c r="D105" s="155"/>
      <c r="E105" s="154"/>
      <c r="P105" s="111" t="str">
        <f t="shared" si="1"/>
        <v/>
      </c>
      <c r="Q105" s="112"/>
      <c r="R105" s="112"/>
      <c r="S105" s="112"/>
      <c r="T105" s="112"/>
      <c r="U105" s="112"/>
      <c r="V105" s="112"/>
    </row>
    <row r="106" spans="4:22" ht="32.1" customHeight="1">
      <c r="D106" s="155"/>
      <c r="E106" s="154"/>
      <c r="P106" s="111" t="str">
        <f t="shared" si="1"/>
        <v/>
      </c>
      <c r="Q106" s="112"/>
      <c r="R106" s="112"/>
      <c r="S106" s="112"/>
      <c r="T106" s="112"/>
      <c r="U106" s="112"/>
      <c r="V106" s="112"/>
    </row>
    <row r="107" spans="4:22" ht="32.1" customHeight="1">
      <c r="D107" s="155"/>
      <c r="E107" s="154"/>
      <c r="P107" s="111" t="str">
        <f t="shared" si="1"/>
        <v/>
      </c>
      <c r="Q107" s="112"/>
      <c r="R107" s="112"/>
      <c r="S107" s="112"/>
      <c r="T107" s="112"/>
      <c r="U107" s="112"/>
      <c r="V107" s="112"/>
    </row>
    <row r="108" spans="4:22" ht="32.1" customHeight="1">
      <c r="D108" s="155"/>
      <c r="E108" s="154"/>
      <c r="P108" s="111" t="str">
        <f t="shared" si="1"/>
        <v/>
      </c>
      <c r="Q108" s="112"/>
      <c r="R108" s="112"/>
      <c r="S108" s="112"/>
      <c r="T108" s="112"/>
      <c r="U108" s="112"/>
      <c r="V108" s="112"/>
    </row>
    <row r="109" spans="4:22" ht="32.1" customHeight="1">
      <c r="D109" s="155"/>
      <c r="E109" s="154"/>
      <c r="P109" s="111" t="str">
        <f t="shared" si="1"/>
        <v/>
      </c>
      <c r="Q109" s="112"/>
      <c r="R109" s="112"/>
      <c r="S109" s="112"/>
      <c r="T109" s="112"/>
      <c r="U109" s="112"/>
      <c r="V109" s="114"/>
    </row>
    <row r="110" spans="4:22" ht="32.1" customHeight="1">
      <c r="D110" s="155"/>
      <c r="E110" s="154"/>
      <c r="P110" s="111" t="str">
        <f t="shared" si="1"/>
        <v/>
      </c>
      <c r="Q110" s="112"/>
      <c r="R110" s="112"/>
      <c r="S110" s="112"/>
      <c r="T110" s="112"/>
      <c r="U110" s="112"/>
      <c r="V110" s="114"/>
    </row>
    <row r="111" spans="4:22" ht="32.1" customHeight="1">
      <c r="D111" s="155"/>
      <c r="E111" s="154"/>
      <c r="P111" s="111" t="str">
        <f t="shared" si="1"/>
        <v/>
      </c>
      <c r="Q111" s="112"/>
      <c r="R111" s="112"/>
      <c r="S111" s="112"/>
      <c r="T111" s="112"/>
      <c r="U111" s="112"/>
      <c r="V111" s="114"/>
    </row>
    <row r="112" spans="4:22" ht="32.1" customHeight="1">
      <c r="D112" s="155"/>
      <c r="E112" s="154"/>
      <c r="P112" s="111" t="str">
        <f t="shared" si="1"/>
        <v/>
      </c>
      <c r="Q112" s="112"/>
      <c r="R112" s="112"/>
      <c r="S112" s="112"/>
      <c r="T112" s="112"/>
      <c r="U112" s="112"/>
      <c r="V112" s="114"/>
    </row>
    <row r="113" spans="4:25" ht="32.1" customHeight="1">
      <c r="D113" s="155"/>
      <c r="E113" s="154"/>
      <c r="P113" s="111" t="str">
        <f t="shared" si="1"/>
        <v/>
      </c>
      <c r="Q113" s="112"/>
      <c r="R113" s="112"/>
      <c r="S113" s="112"/>
      <c r="T113" s="112"/>
      <c r="U113" s="112"/>
      <c r="V113" s="120"/>
      <c r="W113" s="112"/>
      <c r="X113" s="112"/>
      <c r="Y113" s="112"/>
    </row>
    <row r="114" spans="4:25" ht="32.1" customHeight="1">
      <c r="D114" s="155"/>
      <c r="E114" s="154"/>
      <c r="P114" s="111" t="str">
        <f t="shared" si="1"/>
        <v/>
      </c>
      <c r="Q114" s="112"/>
      <c r="R114" s="112"/>
      <c r="S114" s="112"/>
      <c r="T114" s="112"/>
      <c r="U114" s="112"/>
      <c r="V114" s="120"/>
      <c r="W114" s="112"/>
      <c r="X114" s="112"/>
      <c r="Y114" s="112"/>
    </row>
    <row r="115" spans="4:25" ht="32.1" customHeight="1">
      <c r="D115" s="155"/>
      <c r="E115" s="154"/>
      <c r="P115" s="111" t="str">
        <f t="shared" si="1"/>
        <v/>
      </c>
      <c r="Q115" s="112"/>
      <c r="R115" s="112"/>
      <c r="S115" s="112"/>
      <c r="T115" s="112"/>
      <c r="U115" s="112"/>
      <c r="V115" s="112"/>
    </row>
    <row r="116" spans="4:25" ht="32.1" customHeight="1">
      <c r="D116" s="155"/>
      <c r="E116" s="154"/>
      <c r="P116" s="111" t="str">
        <f t="shared" si="1"/>
        <v/>
      </c>
      <c r="Q116" s="112"/>
      <c r="R116" s="112"/>
      <c r="S116" s="112"/>
      <c r="T116" s="112"/>
      <c r="U116" s="112"/>
      <c r="V116" s="112"/>
    </row>
    <row r="117" spans="4:25" ht="32.1" customHeight="1">
      <c r="D117" s="155"/>
      <c r="E117" s="154"/>
      <c r="P117" s="111" t="str">
        <f t="shared" si="1"/>
        <v/>
      </c>
      <c r="Q117" s="112"/>
      <c r="R117" s="112"/>
      <c r="S117" s="112"/>
      <c r="T117" s="112"/>
      <c r="U117" s="112"/>
      <c r="V117" s="112"/>
    </row>
    <row r="118" spans="4:25" ht="32.1" customHeight="1">
      <c r="D118" s="155"/>
      <c r="E118" s="154"/>
      <c r="P118" s="111" t="str">
        <f t="shared" si="1"/>
        <v/>
      </c>
      <c r="Q118" s="112"/>
      <c r="R118" s="112"/>
      <c r="S118" s="112"/>
      <c r="T118" s="112"/>
      <c r="U118" s="112"/>
      <c r="V118" s="112"/>
    </row>
    <row r="119" spans="4:25" ht="32.1" customHeight="1">
      <c r="D119" s="155"/>
      <c r="E119" s="154"/>
      <c r="P119" s="111" t="str">
        <f t="shared" si="1"/>
        <v/>
      </c>
      <c r="Q119" s="112"/>
      <c r="R119" s="112"/>
      <c r="S119" s="112"/>
      <c r="T119" s="112"/>
      <c r="U119" s="112"/>
      <c r="V119" s="112"/>
    </row>
    <row r="120" spans="4:25" ht="32.1" customHeight="1">
      <c r="D120" s="155"/>
      <c r="E120" s="154"/>
      <c r="P120" s="111" t="str">
        <f t="shared" si="1"/>
        <v/>
      </c>
      <c r="Q120" s="112"/>
      <c r="R120" s="112"/>
      <c r="S120" s="112"/>
      <c r="T120" s="112"/>
      <c r="U120" s="112"/>
      <c r="V120" s="112"/>
    </row>
    <row r="121" spans="4:25" ht="32.1" customHeight="1">
      <c r="D121" s="155"/>
      <c r="E121" s="154"/>
      <c r="P121" s="111" t="str">
        <f t="shared" si="1"/>
        <v/>
      </c>
      <c r="Q121" s="112"/>
      <c r="R121" s="112"/>
      <c r="S121" s="112"/>
      <c r="T121" s="112"/>
      <c r="U121" s="112"/>
      <c r="V121" s="112"/>
    </row>
    <row r="122" spans="4:25" ht="32.1" customHeight="1">
      <c r="D122" s="155"/>
      <c r="E122" s="154"/>
      <c r="P122" s="111" t="str">
        <f t="shared" si="1"/>
        <v/>
      </c>
      <c r="Q122" s="112"/>
      <c r="R122" s="112"/>
      <c r="S122" s="112"/>
      <c r="T122" s="112"/>
      <c r="U122" s="112"/>
      <c r="V122" s="112"/>
    </row>
    <row r="123" spans="4:25" ht="32.1" customHeight="1">
      <c r="D123" s="155"/>
      <c r="E123" s="154"/>
      <c r="P123" s="111" t="str">
        <f t="shared" si="1"/>
        <v/>
      </c>
      <c r="Q123" s="112"/>
      <c r="R123" s="112"/>
      <c r="S123" s="112"/>
      <c r="T123" s="112"/>
      <c r="U123" s="112"/>
      <c r="V123" s="112"/>
    </row>
    <row r="124" spans="4:25" ht="32.1" customHeight="1">
      <c r="D124" s="155"/>
      <c r="E124" s="154"/>
      <c r="P124" s="111" t="str">
        <f t="shared" si="1"/>
        <v/>
      </c>
      <c r="Q124" s="112"/>
      <c r="R124" s="112"/>
      <c r="S124" s="112"/>
      <c r="T124" s="112"/>
      <c r="U124" s="112"/>
      <c r="V124" s="112"/>
    </row>
    <row r="125" spans="4:25" ht="32.1" customHeight="1">
      <c r="D125" s="155"/>
      <c r="E125" s="154"/>
      <c r="P125" s="111" t="str">
        <f t="shared" si="1"/>
        <v/>
      </c>
      <c r="Q125" s="112"/>
      <c r="R125" s="112"/>
      <c r="S125" s="112"/>
      <c r="T125" s="112"/>
      <c r="U125" s="112"/>
      <c r="V125" s="112"/>
    </row>
    <row r="126" spans="4:25" ht="32.1" customHeight="1">
      <c r="D126" s="155"/>
      <c r="E126" s="154"/>
      <c r="P126" s="111" t="str">
        <f t="shared" si="1"/>
        <v/>
      </c>
      <c r="Q126" s="112"/>
      <c r="R126" s="112"/>
      <c r="S126" s="112"/>
      <c r="T126" s="112"/>
      <c r="U126" s="112"/>
      <c r="V126" s="112"/>
    </row>
    <row r="127" spans="4:25" ht="32.1" customHeight="1">
      <c r="D127" s="155"/>
      <c r="E127" s="154"/>
      <c r="P127" s="111" t="str">
        <f t="shared" si="1"/>
        <v/>
      </c>
      <c r="Q127" s="112"/>
      <c r="R127" s="112"/>
      <c r="S127" s="112"/>
      <c r="T127" s="112"/>
      <c r="U127" s="112"/>
      <c r="V127" s="112"/>
    </row>
    <row r="128" spans="4:25" ht="32.1" customHeight="1">
      <c r="D128" s="155"/>
      <c r="E128" s="154"/>
      <c r="P128" s="111" t="str">
        <f t="shared" si="1"/>
        <v/>
      </c>
      <c r="Q128" s="112"/>
      <c r="R128" s="112"/>
      <c r="S128" s="112"/>
      <c r="T128" s="112"/>
      <c r="U128" s="112"/>
      <c r="V128" s="112"/>
    </row>
    <row r="129" spans="4:25" ht="32.1" customHeight="1">
      <c r="D129" s="155"/>
      <c r="E129" s="154"/>
      <c r="P129" s="111" t="str">
        <f t="shared" si="1"/>
        <v/>
      </c>
      <c r="Q129" s="112"/>
      <c r="R129" s="112"/>
      <c r="S129" s="112"/>
      <c r="T129" s="112"/>
      <c r="U129" s="112"/>
      <c r="V129" s="112"/>
    </row>
    <row r="130" spans="4:25" ht="32.1" customHeight="1">
      <c r="D130" s="155"/>
      <c r="E130" s="154"/>
      <c r="P130" s="111" t="str">
        <f t="shared" si="1"/>
        <v/>
      </c>
      <c r="Q130" s="112"/>
      <c r="R130" s="112"/>
      <c r="S130" s="112"/>
      <c r="T130" s="112"/>
      <c r="U130" s="112"/>
      <c r="V130" s="114"/>
    </row>
    <row r="131" spans="4:25" ht="32.1" customHeight="1">
      <c r="D131" s="155"/>
      <c r="E131" s="154"/>
      <c r="P131" s="111" t="str">
        <f t="shared" si="1"/>
        <v/>
      </c>
      <c r="Q131" s="112"/>
      <c r="R131" s="112"/>
      <c r="S131" s="112"/>
      <c r="T131" s="112"/>
      <c r="U131" s="112"/>
      <c r="V131" s="114"/>
    </row>
    <row r="132" spans="4:25" ht="32.1" customHeight="1">
      <c r="D132" s="155"/>
      <c r="E132" s="154"/>
      <c r="P132" s="111" t="str">
        <f t="shared" si="1"/>
        <v/>
      </c>
      <c r="Q132" s="112"/>
      <c r="R132" s="112"/>
      <c r="S132" s="112"/>
      <c r="T132" s="112"/>
      <c r="U132" s="112"/>
      <c r="V132" s="114"/>
    </row>
    <row r="133" spans="4:25" ht="32.1" customHeight="1">
      <c r="D133" s="155"/>
      <c r="E133" s="154"/>
      <c r="P133" s="111" t="str">
        <f t="shared" si="1"/>
        <v/>
      </c>
      <c r="Q133" s="112"/>
      <c r="R133" s="112"/>
      <c r="S133" s="112"/>
      <c r="T133" s="112"/>
      <c r="U133" s="112"/>
      <c r="V133" s="114"/>
    </row>
    <row r="134" spans="4:25" ht="32.1" customHeight="1">
      <c r="D134" s="155"/>
      <c r="E134" s="154"/>
      <c r="P134" s="111" t="str">
        <f t="shared" si="1"/>
        <v/>
      </c>
      <c r="Q134" s="112"/>
      <c r="R134" s="112"/>
      <c r="S134" s="112"/>
      <c r="T134" s="112"/>
      <c r="U134" s="112"/>
      <c r="V134" s="120"/>
      <c r="W134" s="112"/>
      <c r="X134" s="112"/>
      <c r="Y134" s="112"/>
    </row>
    <row r="135" spans="4:25" ht="32.1" customHeight="1">
      <c r="D135" s="155"/>
      <c r="E135" s="154"/>
      <c r="P135" s="111" t="str">
        <f t="shared" si="1"/>
        <v/>
      </c>
      <c r="Q135" s="112"/>
      <c r="R135" s="112"/>
      <c r="S135" s="112"/>
      <c r="T135" s="112"/>
      <c r="U135" s="112"/>
      <c r="V135" s="120"/>
      <c r="W135" s="112"/>
      <c r="X135" s="112"/>
      <c r="Y135" s="112"/>
    </row>
    <row r="136" spans="4:25" ht="32.1" customHeight="1">
      <c r="D136" s="155"/>
      <c r="E136" s="154"/>
      <c r="P136" s="111" t="str">
        <f t="shared" si="1"/>
        <v/>
      </c>
      <c r="Q136" s="112"/>
      <c r="R136" s="112"/>
      <c r="S136" s="112"/>
      <c r="T136" s="112"/>
      <c r="U136" s="112"/>
      <c r="V136" s="112"/>
    </row>
    <row r="137" spans="4:25" ht="32.1" customHeight="1">
      <c r="D137" s="155"/>
      <c r="E137" s="154"/>
      <c r="P137" s="111" t="str">
        <f t="shared" si="1"/>
        <v/>
      </c>
      <c r="Q137" s="112"/>
      <c r="R137" s="112"/>
      <c r="S137" s="112"/>
      <c r="T137" s="112"/>
      <c r="U137" s="112"/>
      <c r="V137" s="112"/>
    </row>
    <row r="138" spans="4:25" ht="32.1" customHeight="1">
      <c r="D138" s="155"/>
      <c r="E138" s="154"/>
      <c r="P138" s="111" t="str">
        <f t="shared" si="1"/>
        <v/>
      </c>
      <c r="Q138" s="112"/>
      <c r="R138" s="112"/>
      <c r="S138" s="112"/>
      <c r="T138" s="112"/>
      <c r="U138" s="112"/>
      <c r="V138" s="112"/>
    </row>
    <row r="139" spans="4:25" ht="32.1" customHeight="1">
      <c r="D139" s="155"/>
      <c r="E139" s="154"/>
      <c r="P139" s="111" t="str">
        <f t="shared" si="1"/>
        <v/>
      </c>
      <c r="Q139" s="112"/>
      <c r="R139" s="112"/>
      <c r="S139" s="112"/>
      <c r="T139" s="112"/>
      <c r="U139" s="112"/>
      <c r="V139" s="112"/>
    </row>
    <row r="140" spans="4:25" ht="32.1" customHeight="1">
      <c r="D140" s="155"/>
      <c r="E140" s="154"/>
      <c r="P140" s="111" t="str">
        <f t="shared" si="1"/>
        <v/>
      </c>
      <c r="Q140" s="112"/>
      <c r="R140" s="112"/>
      <c r="S140" s="112"/>
      <c r="T140" s="112"/>
      <c r="U140" s="112"/>
      <c r="V140" s="112"/>
    </row>
    <row r="141" spans="4:25" ht="32.1" customHeight="1">
      <c r="D141" s="155"/>
      <c r="E141" s="154"/>
      <c r="P141" s="111" t="str">
        <f t="shared" si="1"/>
        <v/>
      </c>
      <c r="Q141" s="112"/>
      <c r="R141" s="112"/>
      <c r="S141" s="112"/>
      <c r="T141" s="112"/>
      <c r="U141" s="112"/>
      <c r="V141" s="112"/>
    </row>
    <row r="142" spans="4:25" ht="32.1" customHeight="1">
      <c r="D142" s="155"/>
      <c r="E142" s="154"/>
      <c r="P142" s="111" t="str">
        <f t="shared" si="1"/>
        <v/>
      </c>
      <c r="Q142" s="112"/>
      <c r="R142" s="112"/>
      <c r="S142" s="112"/>
      <c r="T142" s="112"/>
      <c r="U142" s="112"/>
      <c r="V142" s="112"/>
    </row>
    <row r="143" spans="4:25" ht="32.1" customHeight="1">
      <c r="D143" s="155"/>
      <c r="E143" s="154"/>
      <c r="P143" s="111" t="str">
        <f t="shared" si="1"/>
        <v/>
      </c>
      <c r="Q143" s="112"/>
      <c r="R143" s="112"/>
      <c r="S143" s="112"/>
      <c r="T143" s="112"/>
      <c r="U143" s="112"/>
      <c r="V143" s="112"/>
    </row>
    <row r="144" spans="4:25" ht="32.1" customHeight="1">
      <c r="D144" s="155"/>
      <c r="E144" s="154"/>
      <c r="P144" s="111" t="str">
        <f t="shared" si="1"/>
        <v/>
      </c>
      <c r="Q144" s="112"/>
      <c r="R144" s="112"/>
      <c r="S144" s="112"/>
      <c r="T144" s="112"/>
      <c r="U144" s="112"/>
      <c r="V144" s="112"/>
    </row>
    <row r="145" spans="4:25" ht="32.1" customHeight="1">
      <c r="D145" s="155"/>
      <c r="E145" s="154"/>
      <c r="P145" s="111" t="str">
        <f t="shared" si="1"/>
        <v/>
      </c>
      <c r="Q145" s="112"/>
      <c r="R145" s="112"/>
      <c r="S145" s="112"/>
      <c r="T145" s="112"/>
      <c r="U145" s="112"/>
      <c r="V145" s="112"/>
    </row>
    <row r="146" spans="4:25" ht="32.1" customHeight="1">
      <c r="D146" s="155"/>
      <c r="E146" s="154"/>
      <c r="P146" s="111" t="str">
        <f t="shared" si="1"/>
        <v/>
      </c>
      <c r="Q146" s="112"/>
      <c r="R146" s="112"/>
      <c r="S146" s="112"/>
      <c r="T146" s="112"/>
      <c r="U146" s="112"/>
      <c r="V146" s="112"/>
    </row>
    <row r="147" spans="4:25" ht="32.1" customHeight="1">
      <c r="D147" s="155"/>
      <c r="E147" s="154"/>
      <c r="P147" s="111" t="str">
        <f t="shared" si="1"/>
        <v/>
      </c>
      <c r="Q147" s="112"/>
      <c r="R147" s="112"/>
      <c r="S147" s="112"/>
      <c r="T147" s="112"/>
      <c r="U147" s="112"/>
      <c r="V147" s="112"/>
    </row>
    <row r="148" spans="4:25" ht="32.1" customHeight="1">
      <c r="D148" s="155"/>
      <c r="E148" s="154"/>
      <c r="P148" s="111" t="str">
        <f t="shared" si="1"/>
        <v/>
      </c>
      <c r="Q148" s="112"/>
      <c r="R148" s="112"/>
      <c r="S148" s="112"/>
      <c r="T148" s="112"/>
      <c r="U148" s="112"/>
      <c r="V148" s="112"/>
    </row>
    <row r="149" spans="4:25" ht="32.1" customHeight="1">
      <c r="D149" s="155"/>
      <c r="E149" s="154"/>
      <c r="P149" s="111" t="str">
        <f t="shared" si="1"/>
        <v/>
      </c>
      <c r="Q149" s="112"/>
      <c r="R149" s="112"/>
      <c r="S149" s="112"/>
      <c r="T149" s="112"/>
      <c r="U149" s="112"/>
      <c r="V149" s="112"/>
    </row>
    <row r="150" spans="4:25" ht="32.1" customHeight="1">
      <c r="D150" s="155"/>
      <c r="E150" s="154"/>
      <c r="P150" s="111" t="str">
        <f t="shared" si="1"/>
        <v/>
      </c>
      <c r="Q150" s="112"/>
      <c r="R150" s="112"/>
      <c r="S150" s="112"/>
      <c r="T150" s="112"/>
      <c r="U150" s="112"/>
      <c r="V150" s="112"/>
    </row>
    <row r="151" spans="4:25" ht="32.1" customHeight="1">
      <c r="D151" s="155"/>
      <c r="E151" s="154"/>
      <c r="P151" s="111" t="str">
        <f t="shared" ref="P151:P198" si="2">CONCATENATE(C151,H151)</f>
        <v/>
      </c>
      <c r="Q151" s="112"/>
      <c r="R151" s="112"/>
      <c r="S151" s="112"/>
      <c r="T151" s="112"/>
      <c r="U151" s="112"/>
      <c r="V151" s="114"/>
    </row>
    <row r="152" spans="4:25" ht="32.1" customHeight="1">
      <c r="D152" s="155"/>
      <c r="E152" s="154"/>
      <c r="P152" s="111" t="str">
        <f t="shared" si="2"/>
        <v/>
      </c>
      <c r="Q152" s="112"/>
      <c r="R152" s="112"/>
      <c r="S152" s="112"/>
      <c r="T152" s="112"/>
      <c r="U152" s="112"/>
      <c r="V152" s="114"/>
    </row>
    <row r="153" spans="4:25" ht="32.1" customHeight="1">
      <c r="D153" s="155"/>
      <c r="E153" s="154"/>
      <c r="P153" s="111" t="str">
        <f t="shared" si="2"/>
        <v/>
      </c>
      <c r="Q153" s="112"/>
      <c r="R153" s="112"/>
      <c r="S153" s="112"/>
      <c r="T153" s="112"/>
      <c r="U153" s="112"/>
      <c r="V153" s="114"/>
    </row>
    <row r="154" spans="4:25" ht="32.1" customHeight="1">
      <c r="D154" s="155"/>
      <c r="E154" s="154"/>
      <c r="P154" s="111" t="str">
        <f t="shared" si="2"/>
        <v/>
      </c>
      <c r="Q154" s="112"/>
      <c r="R154" s="112"/>
      <c r="S154" s="112"/>
      <c r="T154" s="112"/>
      <c r="U154" s="112"/>
      <c r="V154" s="114"/>
    </row>
    <row r="155" spans="4:25" ht="32.1" customHeight="1">
      <c r="D155" s="155"/>
      <c r="E155" s="154"/>
      <c r="P155" s="111" t="str">
        <f t="shared" si="2"/>
        <v/>
      </c>
      <c r="Q155" s="112"/>
      <c r="R155" s="112"/>
      <c r="S155" s="112"/>
      <c r="T155" s="112"/>
      <c r="U155" s="112"/>
      <c r="V155" s="120"/>
      <c r="W155" s="112"/>
      <c r="X155" s="112"/>
      <c r="Y155" s="112"/>
    </row>
    <row r="156" spans="4:25" ht="32.1" customHeight="1">
      <c r="D156" s="155"/>
      <c r="E156" s="154"/>
      <c r="P156" s="111" t="str">
        <f t="shared" si="2"/>
        <v/>
      </c>
      <c r="Q156" s="112"/>
      <c r="R156" s="112"/>
      <c r="S156" s="112"/>
      <c r="T156" s="112"/>
      <c r="U156" s="112"/>
      <c r="V156" s="120"/>
      <c r="W156" s="112"/>
      <c r="X156" s="112"/>
      <c r="Y156" s="112"/>
    </row>
    <row r="157" spans="4:25" ht="32.1" customHeight="1">
      <c r="D157" s="155"/>
      <c r="E157" s="154"/>
      <c r="P157" s="111" t="str">
        <f t="shared" si="2"/>
        <v/>
      </c>
      <c r="Q157" s="112"/>
      <c r="R157" s="112"/>
      <c r="S157" s="112"/>
      <c r="T157" s="112"/>
      <c r="U157" s="112"/>
      <c r="V157" s="112"/>
    </row>
    <row r="158" spans="4:25" ht="32.1" customHeight="1">
      <c r="D158" s="155"/>
      <c r="E158" s="154"/>
      <c r="P158" s="111" t="str">
        <f t="shared" si="2"/>
        <v/>
      </c>
      <c r="Q158" s="112"/>
      <c r="R158" s="112"/>
      <c r="S158" s="112"/>
      <c r="T158" s="112"/>
      <c r="U158" s="112"/>
      <c r="V158" s="112"/>
    </row>
    <row r="159" spans="4:25" ht="32.1" customHeight="1">
      <c r="D159" s="155"/>
      <c r="E159" s="154"/>
      <c r="P159" s="111" t="str">
        <f t="shared" si="2"/>
        <v/>
      </c>
      <c r="Q159" s="112"/>
      <c r="R159" s="112"/>
      <c r="S159" s="112"/>
      <c r="T159" s="112"/>
      <c r="U159" s="112"/>
      <c r="V159" s="112"/>
    </row>
    <row r="160" spans="4:25" ht="32.1" customHeight="1">
      <c r="D160" s="155"/>
      <c r="E160" s="154"/>
      <c r="P160" s="111" t="str">
        <f t="shared" si="2"/>
        <v/>
      </c>
      <c r="Q160" s="112"/>
      <c r="R160" s="112"/>
      <c r="S160" s="112"/>
      <c r="T160" s="112"/>
      <c r="U160" s="112"/>
      <c r="V160" s="112"/>
    </row>
    <row r="161" spans="4:25" ht="32.1" customHeight="1">
      <c r="D161" s="155"/>
      <c r="E161" s="154"/>
      <c r="P161" s="111" t="str">
        <f t="shared" si="2"/>
        <v/>
      </c>
      <c r="Q161" s="112"/>
      <c r="R161" s="112"/>
      <c r="S161" s="112"/>
      <c r="T161" s="112"/>
      <c r="U161" s="112"/>
      <c r="V161" s="112"/>
    </row>
    <row r="162" spans="4:25" ht="32.1" customHeight="1">
      <c r="D162" s="155"/>
      <c r="E162" s="154"/>
      <c r="P162" s="111" t="str">
        <f t="shared" si="2"/>
        <v/>
      </c>
      <c r="Q162" s="112"/>
      <c r="R162" s="112"/>
      <c r="S162" s="112"/>
      <c r="T162" s="112"/>
      <c r="U162" s="112"/>
      <c r="V162" s="112"/>
    </row>
    <row r="163" spans="4:25" ht="32.1" customHeight="1">
      <c r="D163" s="155"/>
      <c r="E163" s="154"/>
      <c r="P163" s="111" t="str">
        <f t="shared" si="2"/>
        <v/>
      </c>
      <c r="Q163" s="112"/>
      <c r="R163" s="112"/>
      <c r="S163" s="112"/>
      <c r="T163" s="112"/>
      <c r="U163" s="112"/>
      <c r="V163" s="112"/>
    </row>
    <row r="164" spans="4:25" ht="32.1" customHeight="1">
      <c r="D164" s="155"/>
      <c r="E164" s="154"/>
      <c r="P164" s="111" t="str">
        <f t="shared" si="2"/>
        <v/>
      </c>
      <c r="Q164" s="112"/>
      <c r="R164" s="112"/>
      <c r="S164" s="112"/>
      <c r="T164" s="112"/>
      <c r="U164" s="112"/>
      <c r="V164" s="112"/>
    </row>
    <row r="165" spans="4:25" ht="32.1" customHeight="1">
      <c r="D165" s="155"/>
      <c r="E165" s="154"/>
      <c r="P165" s="111" t="str">
        <f t="shared" si="2"/>
        <v/>
      </c>
      <c r="Q165" s="112"/>
      <c r="R165" s="112"/>
      <c r="S165" s="112"/>
      <c r="T165" s="112"/>
      <c r="U165" s="112"/>
      <c r="V165" s="112"/>
    </row>
    <row r="166" spans="4:25" ht="32.1" customHeight="1">
      <c r="D166" s="155"/>
      <c r="E166" s="154"/>
      <c r="P166" s="111" t="str">
        <f t="shared" si="2"/>
        <v/>
      </c>
      <c r="Q166" s="112"/>
      <c r="R166" s="112"/>
      <c r="S166" s="112"/>
      <c r="T166" s="112"/>
      <c r="U166" s="112"/>
      <c r="V166" s="112"/>
    </row>
    <row r="167" spans="4:25" ht="32.1" customHeight="1">
      <c r="D167" s="155"/>
      <c r="E167" s="154"/>
      <c r="P167" s="111" t="str">
        <f t="shared" si="2"/>
        <v/>
      </c>
      <c r="Q167" s="112"/>
      <c r="R167" s="112"/>
      <c r="S167" s="112"/>
      <c r="T167" s="112"/>
      <c r="U167" s="112"/>
      <c r="V167" s="112"/>
    </row>
    <row r="168" spans="4:25" ht="32.1" customHeight="1">
      <c r="D168" s="155"/>
      <c r="E168" s="154"/>
      <c r="P168" s="111" t="str">
        <f t="shared" si="2"/>
        <v/>
      </c>
      <c r="Q168" s="112"/>
      <c r="R168" s="112"/>
      <c r="S168" s="112"/>
      <c r="T168" s="112"/>
      <c r="U168" s="112"/>
      <c r="V168" s="112"/>
    </row>
    <row r="169" spans="4:25" ht="32.1" customHeight="1">
      <c r="D169" s="155"/>
      <c r="E169" s="154"/>
      <c r="P169" s="111" t="str">
        <f t="shared" si="2"/>
        <v/>
      </c>
      <c r="Q169" s="112"/>
      <c r="R169" s="112"/>
      <c r="S169" s="112"/>
      <c r="T169" s="112"/>
      <c r="U169" s="112"/>
      <c r="V169" s="112"/>
    </row>
    <row r="170" spans="4:25" ht="32.1" customHeight="1">
      <c r="D170" s="155"/>
      <c r="E170" s="154"/>
      <c r="P170" s="111" t="str">
        <f t="shared" si="2"/>
        <v/>
      </c>
      <c r="Q170" s="112"/>
      <c r="R170" s="112"/>
      <c r="S170" s="112"/>
      <c r="T170" s="112"/>
      <c r="U170" s="112"/>
      <c r="V170" s="112"/>
    </row>
    <row r="171" spans="4:25" ht="32.1" customHeight="1">
      <c r="D171" s="155"/>
      <c r="E171" s="154"/>
      <c r="P171" s="111" t="str">
        <f t="shared" si="2"/>
        <v/>
      </c>
      <c r="Q171" s="112"/>
      <c r="R171" s="112"/>
      <c r="S171" s="112"/>
      <c r="T171" s="112"/>
      <c r="U171" s="112"/>
      <c r="V171" s="112"/>
    </row>
    <row r="172" spans="4:25" ht="32.1" customHeight="1">
      <c r="D172" s="155"/>
      <c r="E172" s="154"/>
      <c r="P172" s="111" t="str">
        <f t="shared" si="2"/>
        <v/>
      </c>
      <c r="Q172" s="112"/>
      <c r="R172" s="112"/>
      <c r="S172" s="112"/>
      <c r="T172" s="112"/>
      <c r="U172" s="112"/>
      <c r="V172" s="114"/>
    </row>
    <row r="173" spans="4:25" ht="32.1" customHeight="1">
      <c r="D173" s="155"/>
      <c r="E173" s="154"/>
      <c r="P173" s="111" t="str">
        <f t="shared" si="2"/>
        <v/>
      </c>
      <c r="Q173" s="112"/>
      <c r="R173" s="112"/>
      <c r="S173" s="112"/>
      <c r="T173" s="112"/>
      <c r="U173" s="112"/>
      <c r="V173" s="114"/>
    </row>
    <row r="174" spans="4:25" ht="32.1" customHeight="1">
      <c r="D174" s="155"/>
      <c r="E174" s="154"/>
      <c r="P174" s="111" t="str">
        <f t="shared" si="2"/>
        <v/>
      </c>
      <c r="Q174" s="112"/>
      <c r="R174" s="112"/>
      <c r="S174" s="112"/>
      <c r="T174" s="112"/>
      <c r="U174" s="112"/>
      <c r="V174" s="114"/>
    </row>
    <row r="175" spans="4:25" ht="32.1" customHeight="1">
      <c r="D175" s="155"/>
      <c r="E175" s="154"/>
      <c r="P175" s="111" t="str">
        <f t="shared" si="2"/>
        <v/>
      </c>
      <c r="Q175" s="112"/>
      <c r="R175" s="112"/>
      <c r="S175" s="112"/>
      <c r="T175" s="112"/>
      <c r="U175" s="112"/>
      <c r="V175" s="114"/>
    </row>
    <row r="176" spans="4:25" ht="32.1" customHeight="1">
      <c r="D176" s="155"/>
      <c r="E176" s="154"/>
      <c r="P176" s="111" t="str">
        <f t="shared" si="2"/>
        <v/>
      </c>
      <c r="Q176" s="112"/>
      <c r="R176" s="112"/>
      <c r="S176" s="112"/>
      <c r="T176" s="112"/>
      <c r="U176" s="112"/>
      <c r="V176" s="120"/>
      <c r="W176" s="112"/>
      <c r="X176" s="112"/>
      <c r="Y176" s="112"/>
    </row>
    <row r="177" spans="4:25" ht="32.1" customHeight="1">
      <c r="D177" s="155"/>
      <c r="E177" s="154"/>
      <c r="P177" s="111" t="str">
        <f t="shared" si="2"/>
        <v/>
      </c>
      <c r="Q177" s="112"/>
      <c r="R177" s="112"/>
      <c r="S177" s="112"/>
      <c r="T177" s="112"/>
      <c r="U177" s="112"/>
      <c r="V177" s="120"/>
      <c r="W177" s="112"/>
      <c r="X177" s="112"/>
      <c r="Y177" s="112"/>
    </row>
    <row r="178" spans="4:25" ht="32.1" customHeight="1">
      <c r="D178" s="155"/>
      <c r="E178" s="154"/>
      <c r="P178" s="111" t="str">
        <f t="shared" si="2"/>
        <v/>
      </c>
      <c r="Q178" s="112"/>
      <c r="R178" s="112"/>
      <c r="S178" s="112"/>
      <c r="T178" s="112"/>
      <c r="U178" s="112"/>
      <c r="V178" s="112"/>
    </row>
    <row r="179" spans="4:25" ht="32.1" customHeight="1">
      <c r="D179" s="155"/>
      <c r="E179" s="154"/>
      <c r="P179" s="111" t="str">
        <f t="shared" si="2"/>
        <v/>
      </c>
      <c r="Q179" s="112"/>
      <c r="R179" s="112"/>
      <c r="S179" s="112"/>
      <c r="T179" s="112"/>
      <c r="U179" s="112"/>
      <c r="V179" s="112"/>
    </row>
    <row r="180" spans="4:25" ht="32.1" customHeight="1">
      <c r="D180" s="155"/>
      <c r="E180" s="154"/>
      <c r="P180" s="111" t="str">
        <f t="shared" si="2"/>
        <v/>
      </c>
      <c r="Q180" s="112"/>
      <c r="R180" s="112"/>
      <c r="S180" s="112"/>
      <c r="T180" s="112"/>
      <c r="U180" s="112"/>
      <c r="V180" s="112"/>
    </row>
    <row r="181" spans="4:25" ht="32.1" customHeight="1">
      <c r="D181" s="155"/>
      <c r="E181" s="154"/>
      <c r="P181" s="111" t="str">
        <f t="shared" si="2"/>
        <v/>
      </c>
      <c r="Q181" s="112"/>
      <c r="R181" s="112"/>
      <c r="S181" s="112"/>
      <c r="T181" s="112"/>
      <c r="U181" s="112"/>
      <c r="V181" s="112"/>
    </row>
    <row r="182" spans="4:25" ht="32.1" customHeight="1">
      <c r="D182" s="155"/>
      <c r="E182" s="154"/>
      <c r="P182" s="111" t="str">
        <f t="shared" si="2"/>
        <v/>
      </c>
      <c r="Q182" s="112"/>
      <c r="R182" s="112"/>
      <c r="S182" s="112"/>
      <c r="T182" s="112"/>
      <c r="U182" s="112"/>
      <c r="V182" s="112"/>
    </row>
    <row r="183" spans="4:25" ht="32.1" customHeight="1">
      <c r="D183" s="155"/>
      <c r="E183" s="154"/>
      <c r="P183" s="111" t="str">
        <f t="shared" si="2"/>
        <v/>
      </c>
      <c r="Q183" s="112"/>
      <c r="R183" s="112"/>
      <c r="S183" s="112"/>
      <c r="T183" s="112"/>
      <c r="U183" s="112"/>
      <c r="V183" s="112"/>
    </row>
    <row r="184" spans="4:25" ht="32.1" customHeight="1">
      <c r="D184" s="155"/>
      <c r="E184" s="154"/>
      <c r="P184" s="111" t="str">
        <f t="shared" si="2"/>
        <v/>
      </c>
      <c r="Q184" s="112"/>
      <c r="R184" s="112"/>
      <c r="S184" s="112"/>
      <c r="T184" s="112"/>
      <c r="U184" s="112"/>
      <c r="V184" s="112"/>
    </row>
    <row r="185" spans="4:25" ht="32.1" customHeight="1">
      <c r="D185" s="155"/>
      <c r="E185" s="154"/>
      <c r="P185" s="111" t="str">
        <f t="shared" si="2"/>
        <v/>
      </c>
      <c r="Q185" s="112"/>
      <c r="R185" s="112"/>
      <c r="S185" s="112"/>
      <c r="T185" s="112"/>
      <c r="U185" s="112"/>
      <c r="V185" s="112"/>
    </row>
    <row r="186" spans="4:25" ht="32.1" customHeight="1">
      <c r="D186" s="155"/>
      <c r="E186" s="154"/>
      <c r="P186" s="111" t="str">
        <f t="shared" si="2"/>
        <v/>
      </c>
      <c r="Q186" s="112"/>
      <c r="R186" s="112"/>
      <c r="S186" s="112"/>
      <c r="T186" s="112"/>
      <c r="U186" s="112"/>
      <c r="V186" s="112"/>
    </row>
    <row r="187" spans="4:25" ht="32.1" customHeight="1">
      <c r="D187" s="155"/>
      <c r="E187" s="154"/>
      <c r="P187" s="111" t="str">
        <f t="shared" si="2"/>
        <v/>
      </c>
      <c r="Q187" s="112"/>
      <c r="R187" s="112"/>
      <c r="S187" s="112"/>
      <c r="T187" s="112"/>
      <c r="U187" s="112"/>
      <c r="V187" s="112"/>
    </row>
    <row r="188" spans="4:25" ht="32.1" customHeight="1">
      <c r="D188" s="155"/>
      <c r="E188" s="154"/>
      <c r="P188" s="111" t="str">
        <f t="shared" si="2"/>
        <v/>
      </c>
      <c r="Q188" s="112"/>
      <c r="R188" s="112"/>
      <c r="S188" s="112"/>
      <c r="T188" s="112"/>
      <c r="U188" s="112"/>
      <c r="V188" s="112"/>
    </row>
    <row r="189" spans="4:25" ht="32.1" customHeight="1">
      <c r="D189" s="155"/>
      <c r="E189" s="154"/>
      <c r="P189" s="111" t="str">
        <f t="shared" si="2"/>
        <v/>
      </c>
      <c r="Q189" s="112"/>
      <c r="R189" s="112"/>
      <c r="S189" s="112"/>
      <c r="T189" s="112"/>
      <c r="U189" s="112"/>
      <c r="V189" s="112"/>
    </row>
    <row r="190" spans="4:25" ht="32.1" customHeight="1">
      <c r="D190" s="155"/>
      <c r="E190" s="154"/>
      <c r="P190" s="111" t="str">
        <f t="shared" si="2"/>
        <v/>
      </c>
      <c r="Q190" s="112"/>
      <c r="R190" s="112"/>
      <c r="S190" s="112"/>
      <c r="T190" s="112"/>
      <c r="U190" s="112"/>
      <c r="V190" s="112"/>
    </row>
    <row r="191" spans="4:25" ht="32.1" customHeight="1">
      <c r="D191" s="155"/>
      <c r="E191" s="154"/>
      <c r="P191" s="111" t="str">
        <f t="shared" si="2"/>
        <v/>
      </c>
      <c r="Q191" s="112"/>
      <c r="R191" s="112"/>
      <c r="S191" s="112"/>
      <c r="T191" s="112"/>
      <c r="U191" s="112"/>
      <c r="V191" s="112"/>
    </row>
    <row r="192" spans="4:25" ht="32.1" customHeight="1">
      <c r="D192" s="155"/>
      <c r="E192" s="154"/>
      <c r="P192" s="111" t="str">
        <f t="shared" si="2"/>
        <v/>
      </c>
      <c r="Q192" s="112"/>
      <c r="R192" s="112"/>
      <c r="S192" s="112"/>
      <c r="T192" s="112"/>
      <c r="U192" s="112"/>
      <c r="V192" s="112"/>
    </row>
    <row r="193" spans="4:25" ht="32.1" customHeight="1">
      <c r="D193" s="155"/>
      <c r="E193" s="154"/>
      <c r="P193" s="111" t="str">
        <f t="shared" si="2"/>
        <v/>
      </c>
      <c r="Q193" s="112"/>
      <c r="R193" s="112"/>
      <c r="S193" s="112"/>
      <c r="T193" s="112"/>
      <c r="U193" s="112"/>
      <c r="V193" s="114"/>
    </row>
    <row r="194" spans="4:25" ht="32.1" customHeight="1">
      <c r="D194" s="155"/>
      <c r="E194" s="154"/>
      <c r="P194" s="111" t="str">
        <f t="shared" si="2"/>
        <v/>
      </c>
      <c r="Q194" s="112"/>
      <c r="R194" s="112"/>
      <c r="S194" s="112"/>
      <c r="T194" s="112"/>
      <c r="U194" s="112"/>
      <c r="V194" s="114"/>
    </row>
    <row r="195" spans="4:25" ht="32.1" customHeight="1">
      <c r="D195" s="155"/>
      <c r="E195" s="154"/>
      <c r="P195" s="111" t="str">
        <f t="shared" si="2"/>
        <v/>
      </c>
      <c r="Q195" s="112"/>
      <c r="R195" s="112"/>
      <c r="S195" s="112"/>
      <c r="T195" s="112"/>
      <c r="U195" s="112"/>
      <c r="V195" s="114"/>
    </row>
    <row r="196" spans="4:25" ht="32.1" customHeight="1">
      <c r="D196" s="155"/>
      <c r="E196" s="154"/>
      <c r="P196" s="111" t="str">
        <f t="shared" si="2"/>
        <v/>
      </c>
      <c r="Q196" s="112"/>
      <c r="R196" s="112"/>
      <c r="S196" s="112"/>
      <c r="T196" s="112"/>
      <c r="U196" s="112"/>
      <c r="V196" s="114"/>
    </row>
    <row r="197" spans="4:25" ht="32.1" customHeight="1">
      <c r="D197" s="155"/>
      <c r="E197" s="154"/>
      <c r="P197" s="111" t="str">
        <f t="shared" si="2"/>
        <v/>
      </c>
      <c r="Q197" s="112"/>
      <c r="R197" s="112"/>
      <c r="S197" s="112"/>
      <c r="T197" s="112"/>
      <c r="U197" s="112"/>
      <c r="V197" s="120"/>
      <c r="W197" s="112"/>
      <c r="X197" s="112"/>
      <c r="Y197" s="112"/>
    </row>
    <row r="198" spans="4:25" ht="32.1" customHeight="1">
      <c r="D198" s="155"/>
      <c r="E198" s="154"/>
      <c r="P198" s="111" t="str">
        <f t="shared" si="2"/>
        <v/>
      </c>
      <c r="Q198" s="112"/>
      <c r="R198" s="112"/>
      <c r="S198" s="112"/>
      <c r="T198" s="112"/>
      <c r="U198" s="112"/>
      <c r="V198" s="120"/>
      <c r="W198" s="112"/>
      <c r="X198" s="112"/>
      <c r="Y198" s="112"/>
    </row>
    <row r="199" spans="4:25" ht="32.1" hidden="1" customHeight="1">
      <c r="D199" s="155"/>
      <c r="E199" s="154"/>
      <c r="Q199" s="123"/>
      <c r="R199" s="123"/>
      <c r="S199" s="123"/>
      <c r="T199" s="123"/>
      <c r="U199" s="123"/>
      <c r="V199" s="123"/>
    </row>
    <row r="200" spans="4:25" ht="32.1" hidden="1" customHeight="1">
      <c r="D200" s="155"/>
      <c r="E200" s="154"/>
      <c r="Q200" s="123"/>
      <c r="R200" s="123"/>
      <c r="S200" s="123"/>
      <c r="T200" s="123"/>
      <c r="U200" s="123"/>
      <c r="V200" s="123"/>
    </row>
    <row r="201" spans="4:25" ht="32.1" hidden="1" customHeight="1">
      <c r="D201" s="155"/>
      <c r="E201" s="154"/>
    </row>
    <row r="202" spans="4:25" ht="32.1" hidden="1" customHeight="1">
      <c r="D202" s="155"/>
      <c r="E202" s="154"/>
    </row>
    <row r="203" spans="4:25" ht="32.1" hidden="1" customHeight="1">
      <c r="D203" s="155"/>
      <c r="E203" s="154"/>
    </row>
    <row r="204" spans="4:25" ht="32.1" hidden="1" customHeight="1">
      <c r="D204" s="155"/>
      <c r="E204" s="154"/>
    </row>
    <row r="205" spans="4:25" ht="32.1" hidden="1" customHeight="1">
      <c r="D205" s="155"/>
      <c r="E205" s="154"/>
    </row>
    <row r="206" spans="4:25" ht="32.1" hidden="1" customHeight="1">
      <c r="D206" s="155"/>
      <c r="E206" s="154"/>
    </row>
    <row r="207" spans="4:25" ht="32.1" hidden="1" customHeight="1">
      <c r="D207" s="155"/>
      <c r="E207" s="154"/>
    </row>
    <row r="208" spans="4:25" ht="32.1" hidden="1" customHeight="1">
      <c r="D208" s="155"/>
      <c r="E208" s="154"/>
    </row>
    <row r="209" spans="4:5" ht="32.1" hidden="1" customHeight="1">
      <c r="D209" s="155"/>
      <c r="E209" s="154"/>
    </row>
    <row r="210" spans="4:5" ht="32.1" hidden="1" customHeight="1">
      <c r="D210" s="155"/>
      <c r="E210" s="154"/>
    </row>
    <row r="211" spans="4:5" ht="32.1" hidden="1" customHeight="1">
      <c r="D211" s="155"/>
      <c r="E211" s="154"/>
    </row>
    <row r="212" spans="4:5" ht="32.1" hidden="1" customHeight="1">
      <c r="D212" s="155"/>
      <c r="E212" s="154"/>
    </row>
    <row r="213" spans="4:5" ht="32.1" hidden="1" customHeight="1">
      <c r="D213" s="155"/>
      <c r="E213" s="154"/>
    </row>
    <row r="214" spans="4:5" ht="32.1" hidden="1" customHeight="1">
      <c r="D214" s="155"/>
      <c r="E214" s="154"/>
    </row>
    <row r="215" spans="4:5" ht="32.1" hidden="1" customHeight="1">
      <c r="D215" s="155"/>
      <c r="E215" s="154"/>
    </row>
    <row r="216" spans="4:5" ht="32.1" hidden="1" customHeight="1">
      <c r="D216" s="155"/>
      <c r="E216" s="154"/>
    </row>
    <row r="217" spans="4:5" ht="32.1" hidden="1" customHeight="1">
      <c r="D217" s="155"/>
      <c r="E217" s="154"/>
    </row>
    <row r="218" spans="4:5" ht="32.1" hidden="1" customHeight="1">
      <c r="D218" s="155"/>
      <c r="E218" s="154"/>
    </row>
    <row r="219" spans="4:5" ht="32.1" hidden="1" customHeight="1">
      <c r="D219" s="155"/>
      <c r="E219" s="154"/>
    </row>
    <row r="220" spans="4:5" ht="32.1" hidden="1" customHeight="1">
      <c r="D220" s="155"/>
      <c r="E220" s="154"/>
    </row>
    <row r="221" spans="4:5" ht="32.1" hidden="1" customHeight="1">
      <c r="D221" s="155"/>
      <c r="E221" s="154"/>
    </row>
    <row r="222" spans="4:5" ht="32.1" hidden="1" customHeight="1">
      <c r="D222" s="155"/>
      <c r="E222" s="154"/>
    </row>
    <row r="223" spans="4:5" ht="32.1" hidden="1" customHeight="1">
      <c r="D223" s="155"/>
      <c r="E223" s="154"/>
    </row>
    <row r="224" spans="4:5" ht="32.1" hidden="1" customHeight="1">
      <c r="D224" s="155"/>
      <c r="E224" s="154"/>
    </row>
    <row r="225" spans="4:5" ht="32.1" hidden="1" customHeight="1">
      <c r="D225" s="155"/>
      <c r="E225" s="154"/>
    </row>
    <row r="226" spans="4:5" ht="32.1" hidden="1" customHeight="1">
      <c r="D226" s="155"/>
      <c r="E226" s="154"/>
    </row>
    <row r="227" spans="4:5" ht="32.1" hidden="1" customHeight="1">
      <c r="D227" s="155"/>
      <c r="E227" s="154"/>
    </row>
    <row r="228" spans="4:5" ht="32.1" hidden="1" customHeight="1">
      <c r="D228" s="155"/>
      <c r="E228" s="154"/>
    </row>
    <row r="229" spans="4:5" ht="32.1" hidden="1" customHeight="1">
      <c r="D229" s="155"/>
      <c r="E229" s="154"/>
    </row>
    <row r="230" spans="4:5" ht="32.1" hidden="1" customHeight="1">
      <c r="D230" s="155"/>
      <c r="E230" s="154"/>
    </row>
    <row r="231" spans="4:5" ht="32.1" hidden="1" customHeight="1">
      <c r="D231" s="155"/>
      <c r="E231" s="154"/>
    </row>
    <row r="232" spans="4:5" ht="32.1" hidden="1" customHeight="1">
      <c r="D232" s="155"/>
      <c r="E232" s="154"/>
    </row>
    <row r="233" spans="4:5" ht="32.1" hidden="1" customHeight="1">
      <c r="D233" s="155"/>
      <c r="E233" s="154"/>
    </row>
    <row r="234" spans="4:5" ht="32.1" hidden="1" customHeight="1">
      <c r="D234" s="155"/>
      <c r="E234" s="154"/>
    </row>
    <row r="235" spans="4:5" ht="32.1" hidden="1" customHeight="1">
      <c r="D235" s="155"/>
      <c r="E235" s="154"/>
    </row>
    <row r="236" spans="4:5" ht="32.1" hidden="1" customHeight="1">
      <c r="D236" s="155"/>
      <c r="E236" s="154"/>
    </row>
    <row r="237" spans="4:5" ht="32.1" hidden="1" customHeight="1">
      <c r="D237" s="155"/>
      <c r="E237" s="154"/>
    </row>
    <row r="238" spans="4:5" ht="32.1" hidden="1" customHeight="1">
      <c r="D238" s="155"/>
      <c r="E238" s="154"/>
    </row>
    <row r="239" spans="4:5" ht="32.1" hidden="1" customHeight="1">
      <c r="D239" s="155"/>
      <c r="E239" s="154"/>
    </row>
    <row r="240" spans="4:5" ht="32.1" hidden="1" customHeight="1">
      <c r="D240" s="155"/>
      <c r="E240" s="154"/>
    </row>
    <row r="241" spans="4:5" ht="32.1" hidden="1" customHeight="1">
      <c r="D241" s="155"/>
      <c r="E241" s="154"/>
    </row>
    <row r="242" spans="4:5" ht="32.1" hidden="1" customHeight="1">
      <c r="D242" s="155"/>
      <c r="E242" s="154"/>
    </row>
    <row r="243" spans="4:5" ht="32.1" hidden="1" customHeight="1">
      <c r="D243" s="155"/>
      <c r="E243" s="154"/>
    </row>
    <row r="244" spans="4:5" ht="32.1" hidden="1" customHeight="1">
      <c r="D244" s="155"/>
      <c r="E244" s="154"/>
    </row>
    <row r="245" spans="4:5" ht="32.1" hidden="1" customHeight="1">
      <c r="D245" s="155"/>
      <c r="E245" s="154"/>
    </row>
    <row r="246" spans="4:5" ht="32.1" hidden="1" customHeight="1">
      <c r="D246" s="155"/>
      <c r="E246" s="154"/>
    </row>
    <row r="247" spans="4:5" ht="32.1" hidden="1" customHeight="1">
      <c r="D247" s="155"/>
      <c r="E247" s="154"/>
    </row>
    <row r="248" spans="4:5" ht="32.1" hidden="1" customHeight="1">
      <c r="D248" s="155"/>
      <c r="E248" s="154"/>
    </row>
    <row r="249" spans="4:5" ht="32.1" hidden="1" customHeight="1">
      <c r="D249" s="155"/>
      <c r="E249" s="154"/>
    </row>
    <row r="250" spans="4:5" ht="32.1" hidden="1" customHeight="1">
      <c r="D250" s="155"/>
      <c r="E250" s="154"/>
    </row>
    <row r="251" spans="4:5" ht="32.1" hidden="1" customHeight="1">
      <c r="D251" s="155"/>
      <c r="E251" s="154"/>
    </row>
    <row r="252" spans="4:5" ht="32.1" hidden="1" customHeight="1">
      <c r="D252" s="155"/>
      <c r="E252" s="154"/>
    </row>
    <row r="253" spans="4:5" ht="32.1" hidden="1" customHeight="1">
      <c r="D253" s="155"/>
      <c r="E253" s="154"/>
    </row>
    <row r="254" spans="4:5" ht="32.1" hidden="1" customHeight="1">
      <c r="D254" s="155"/>
      <c r="E254" s="154"/>
    </row>
    <row r="255" spans="4:5" ht="32.1" hidden="1" customHeight="1">
      <c r="D255" s="155"/>
      <c r="E255" s="154"/>
    </row>
    <row r="256" spans="4:5" ht="32.1" hidden="1" customHeight="1">
      <c r="D256" s="155"/>
      <c r="E256" s="154"/>
    </row>
    <row r="257" spans="4:5" ht="32.1" hidden="1" customHeight="1">
      <c r="D257" s="155"/>
      <c r="E257" s="154"/>
    </row>
    <row r="258" spans="4:5" ht="32.1" hidden="1" customHeight="1">
      <c r="D258" s="155"/>
      <c r="E258" s="154"/>
    </row>
    <row r="259" spans="4:5" ht="32.1" hidden="1" customHeight="1">
      <c r="D259" s="155"/>
      <c r="E259" s="154"/>
    </row>
    <row r="260" spans="4:5" ht="32.1" hidden="1" customHeight="1">
      <c r="D260" s="155"/>
      <c r="E260" s="154"/>
    </row>
    <row r="261" spans="4:5" ht="32.1" hidden="1" customHeight="1">
      <c r="D261" s="155"/>
      <c r="E261" s="154"/>
    </row>
    <row r="262" spans="4:5" ht="32.1" hidden="1" customHeight="1">
      <c r="D262" s="155"/>
      <c r="E262" s="154"/>
    </row>
    <row r="263" spans="4:5" ht="32.1" hidden="1" customHeight="1">
      <c r="D263" s="155"/>
      <c r="E263" s="154"/>
    </row>
    <row r="264" spans="4:5" ht="32.1" hidden="1" customHeight="1">
      <c r="D264" s="155"/>
      <c r="E264" s="154"/>
    </row>
    <row r="265" spans="4:5" ht="32.1" hidden="1" customHeight="1">
      <c r="D265" s="155"/>
      <c r="E265" s="154"/>
    </row>
    <row r="266" spans="4:5" ht="32.1" hidden="1" customHeight="1">
      <c r="D266" s="155"/>
      <c r="E266" s="154"/>
    </row>
    <row r="267" spans="4:5" ht="32.1" hidden="1" customHeight="1">
      <c r="D267" s="155"/>
      <c r="E267" s="154"/>
    </row>
    <row r="268" spans="4:5" ht="32.1" hidden="1" customHeight="1">
      <c r="D268" s="155"/>
      <c r="E268" s="154"/>
    </row>
    <row r="269" spans="4:5" ht="32.1" hidden="1" customHeight="1">
      <c r="D269" s="155"/>
      <c r="E269" s="154"/>
    </row>
    <row r="270" spans="4:5" ht="32.1" hidden="1" customHeight="1">
      <c r="D270" s="155"/>
      <c r="E270" s="154"/>
    </row>
    <row r="271" spans="4:5" ht="32.1" hidden="1" customHeight="1">
      <c r="D271" s="155"/>
      <c r="E271" s="154"/>
    </row>
    <row r="272" spans="4:5" ht="32.1" hidden="1" customHeight="1">
      <c r="D272" s="155"/>
      <c r="E272" s="154"/>
    </row>
    <row r="273" spans="4:5" ht="32.1" hidden="1" customHeight="1">
      <c r="D273" s="155"/>
      <c r="E273" s="154"/>
    </row>
    <row r="274" spans="4:5" ht="32.1" hidden="1" customHeight="1">
      <c r="D274" s="155"/>
      <c r="E274" s="154"/>
    </row>
    <row r="275" spans="4:5" ht="32.1" hidden="1" customHeight="1">
      <c r="D275" s="155"/>
      <c r="E275" s="154"/>
    </row>
    <row r="276" spans="4:5" ht="32.1" hidden="1" customHeight="1">
      <c r="D276" s="155"/>
      <c r="E276" s="154"/>
    </row>
    <row r="277" spans="4:5" ht="32.1" hidden="1" customHeight="1">
      <c r="D277" s="155"/>
      <c r="E277" s="154"/>
    </row>
    <row r="278" spans="4:5" ht="32.1" hidden="1" customHeight="1">
      <c r="D278" s="155"/>
      <c r="E278" s="154"/>
    </row>
    <row r="279" spans="4:5" ht="32.1" hidden="1" customHeight="1">
      <c r="D279" s="155"/>
      <c r="E279" s="154"/>
    </row>
    <row r="280" spans="4:5" ht="32.1" hidden="1" customHeight="1">
      <c r="D280" s="155"/>
      <c r="E280" s="154"/>
    </row>
    <row r="281" spans="4:5" ht="32.1" hidden="1" customHeight="1">
      <c r="D281" s="155"/>
      <c r="E281" s="154"/>
    </row>
    <row r="282" spans="4:5" ht="32.1" hidden="1" customHeight="1">
      <c r="D282" s="155"/>
      <c r="E282" s="154"/>
    </row>
    <row r="283" spans="4:5" ht="32.1" hidden="1" customHeight="1">
      <c r="D283" s="155"/>
      <c r="E283" s="154"/>
    </row>
    <row r="284" spans="4:5" ht="32.1" hidden="1" customHeight="1">
      <c r="D284" s="155"/>
      <c r="E284" s="154"/>
    </row>
    <row r="285" spans="4:5" ht="32.1" hidden="1" customHeight="1">
      <c r="D285" s="155"/>
      <c r="E285" s="154"/>
    </row>
    <row r="286" spans="4:5" ht="32.1" hidden="1" customHeight="1">
      <c r="D286" s="155"/>
      <c r="E286" s="154"/>
    </row>
    <row r="287" spans="4:5" ht="32.1" hidden="1" customHeight="1">
      <c r="D287" s="155"/>
      <c r="E287" s="154"/>
    </row>
    <row r="288" spans="4:5" ht="32.1" hidden="1" customHeight="1">
      <c r="D288" s="155"/>
      <c r="E288" s="154"/>
    </row>
    <row r="289" spans="4:5" ht="32.1" hidden="1" customHeight="1">
      <c r="D289" s="155"/>
      <c r="E289" s="154"/>
    </row>
    <row r="290" spans="4:5" ht="32.1" hidden="1" customHeight="1">
      <c r="D290" s="155"/>
      <c r="E290" s="154"/>
    </row>
    <row r="291" spans="4:5" ht="32.1" hidden="1" customHeight="1">
      <c r="D291" s="155"/>
      <c r="E291" s="154"/>
    </row>
    <row r="292" spans="4:5" ht="32.1" hidden="1" customHeight="1">
      <c r="D292" s="155"/>
      <c r="E292" s="154"/>
    </row>
    <row r="293" spans="4:5" ht="32.1" hidden="1" customHeight="1">
      <c r="D293" s="155"/>
      <c r="E293" s="154"/>
    </row>
    <row r="294" spans="4:5" ht="32.1" hidden="1" customHeight="1">
      <c r="D294" s="155"/>
      <c r="E294" s="154"/>
    </row>
    <row r="295" spans="4:5" ht="32.1" hidden="1" customHeight="1">
      <c r="D295" s="155"/>
      <c r="E295" s="154"/>
    </row>
    <row r="296" spans="4:5" ht="32.1" hidden="1" customHeight="1">
      <c r="D296" s="155"/>
      <c r="E296" s="154"/>
    </row>
    <row r="297" spans="4:5" ht="32.1" hidden="1" customHeight="1">
      <c r="D297" s="155"/>
      <c r="E297" s="154"/>
    </row>
    <row r="298" spans="4:5" ht="32.1" hidden="1" customHeight="1">
      <c r="D298" s="155"/>
      <c r="E298" s="154"/>
    </row>
    <row r="299" spans="4:5" ht="32.1" hidden="1" customHeight="1">
      <c r="D299" s="155"/>
      <c r="E299" s="154"/>
    </row>
    <row r="300" spans="4:5" ht="32.1" hidden="1" customHeight="1">
      <c r="D300" s="155"/>
      <c r="E300" s="154"/>
    </row>
    <row r="301" spans="4:5" ht="32.1" hidden="1" customHeight="1">
      <c r="D301" s="155"/>
      <c r="E301" s="154"/>
    </row>
    <row r="302" spans="4:5" ht="32.1" hidden="1" customHeight="1">
      <c r="D302" s="155"/>
      <c r="E302" s="154"/>
    </row>
    <row r="303" spans="4:5" ht="32.1" hidden="1" customHeight="1">
      <c r="D303" s="155"/>
      <c r="E303" s="154"/>
    </row>
    <row r="304" spans="4:5" ht="32.1" hidden="1" customHeight="1">
      <c r="D304" s="155"/>
      <c r="E304" s="154"/>
    </row>
    <row r="305" spans="4:5" ht="32.1" hidden="1" customHeight="1">
      <c r="D305" s="155"/>
      <c r="E305" s="154"/>
    </row>
    <row r="306" spans="4:5" ht="32.1" hidden="1" customHeight="1">
      <c r="D306" s="155"/>
      <c r="E306" s="154"/>
    </row>
    <row r="307" spans="4:5" ht="32.1" hidden="1" customHeight="1">
      <c r="D307" s="155"/>
      <c r="E307" s="154"/>
    </row>
    <row r="308" spans="4:5" ht="32.1" hidden="1" customHeight="1">
      <c r="D308" s="155"/>
      <c r="E308" s="154"/>
    </row>
    <row r="309" spans="4:5" ht="32.1" hidden="1" customHeight="1">
      <c r="D309" s="155"/>
      <c r="E309" s="154"/>
    </row>
    <row r="310" spans="4:5" ht="32.1" hidden="1" customHeight="1">
      <c r="D310" s="155"/>
      <c r="E310" s="154"/>
    </row>
    <row r="311" spans="4:5" ht="32.1" hidden="1" customHeight="1">
      <c r="D311" s="155"/>
      <c r="E311" s="154"/>
    </row>
    <row r="312" spans="4:5" ht="32.1" hidden="1" customHeight="1">
      <c r="D312" s="155"/>
      <c r="E312" s="154"/>
    </row>
    <row r="313" spans="4:5" ht="32.1" hidden="1" customHeight="1">
      <c r="D313" s="155"/>
      <c r="E313" s="154"/>
    </row>
    <row r="314" spans="4:5" ht="32.1" hidden="1" customHeight="1">
      <c r="D314" s="155"/>
      <c r="E314" s="154"/>
    </row>
    <row r="315" spans="4:5" ht="32.1" hidden="1" customHeight="1">
      <c r="D315" s="155"/>
      <c r="E315" s="154"/>
    </row>
    <row r="316" spans="4:5" ht="32.1" hidden="1" customHeight="1">
      <c r="D316" s="155"/>
      <c r="E316" s="154"/>
    </row>
    <row r="317" spans="4:5" ht="32.1" hidden="1" customHeight="1">
      <c r="D317" s="155"/>
      <c r="E317" s="154"/>
    </row>
    <row r="318" spans="4:5" ht="32.1" hidden="1" customHeight="1">
      <c r="D318" s="155"/>
      <c r="E318" s="154"/>
    </row>
    <row r="319" spans="4:5" ht="32.1" hidden="1" customHeight="1">
      <c r="D319" s="155"/>
      <c r="E319" s="154"/>
    </row>
    <row r="320" spans="4:5" ht="32.1" hidden="1" customHeight="1">
      <c r="D320" s="155"/>
      <c r="E320" s="154"/>
    </row>
    <row r="321" spans="4:5" ht="32.1" hidden="1" customHeight="1">
      <c r="D321" s="155"/>
      <c r="E321" s="154"/>
    </row>
    <row r="322" spans="4:5" ht="32.1" hidden="1" customHeight="1">
      <c r="D322" s="155"/>
      <c r="E322" s="154"/>
    </row>
    <row r="323" spans="4:5" ht="32.1" hidden="1" customHeight="1">
      <c r="D323" s="155"/>
      <c r="E323" s="154"/>
    </row>
    <row r="324" spans="4:5" ht="32.1" hidden="1" customHeight="1">
      <c r="D324" s="155"/>
      <c r="E324" s="154"/>
    </row>
    <row r="325" spans="4:5" ht="32.1" hidden="1" customHeight="1">
      <c r="D325" s="155"/>
      <c r="E325" s="154"/>
    </row>
    <row r="326" spans="4:5" ht="32.1" hidden="1" customHeight="1">
      <c r="D326" s="155"/>
      <c r="E326" s="154"/>
    </row>
    <row r="327" spans="4:5" ht="32.1" hidden="1" customHeight="1">
      <c r="D327" s="155"/>
      <c r="E327" s="154"/>
    </row>
    <row r="328" spans="4:5" ht="32.1" hidden="1" customHeight="1">
      <c r="D328" s="155"/>
      <c r="E328" s="154"/>
    </row>
    <row r="329" spans="4:5" ht="32.1" hidden="1" customHeight="1">
      <c r="D329" s="155"/>
      <c r="E329" s="154"/>
    </row>
    <row r="330" spans="4:5" ht="32.1" hidden="1" customHeight="1">
      <c r="D330" s="155"/>
      <c r="E330" s="154"/>
    </row>
    <row r="331" spans="4:5" ht="32.1" hidden="1" customHeight="1">
      <c r="D331" s="155"/>
      <c r="E331" s="154"/>
    </row>
    <row r="332" spans="4:5" ht="32.1" hidden="1" customHeight="1">
      <c r="D332" s="155"/>
      <c r="E332" s="154"/>
    </row>
    <row r="333" spans="4:5" ht="32.1" hidden="1" customHeight="1">
      <c r="D333" s="155"/>
      <c r="E333" s="154"/>
    </row>
    <row r="334" spans="4:5" ht="32.1" hidden="1" customHeight="1">
      <c r="D334" s="155"/>
      <c r="E334" s="154"/>
    </row>
    <row r="335" spans="4:5" ht="32.1" hidden="1" customHeight="1">
      <c r="D335" s="155"/>
      <c r="E335" s="154"/>
    </row>
    <row r="336" spans="4:5" ht="32.1" hidden="1" customHeight="1">
      <c r="D336" s="155"/>
      <c r="E336" s="154"/>
    </row>
    <row r="337" spans="4:5" ht="32.1" hidden="1" customHeight="1">
      <c r="D337" s="155"/>
      <c r="E337" s="154"/>
    </row>
    <row r="338" spans="4:5" ht="32.1" hidden="1" customHeight="1">
      <c r="D338" s="155"/>
      <c r="E338" s="154"/>
    </row>
    <row r="339" spans="4:5" ht="32.1" hidden="1" customHeight="1">
      <c r="D339" s="155"/>
      <c r="E339" s="154"/>
    </row>
    <row r="340" spans="4:5" ht="32.1" hidden="1" customHeight="1">
      <c r="D340" s="155"/>
      <c r="E340" s="154"/>
    </row>
    <row r="341" spans="4:5" ht="32.1" hidden="1" customHeight="1">
      <c r="D341" s="155"/>
      <c r="E341" s="154"/>
    </row>
    <row r="342" spans="4:5" ht="32.1" hidden="1" customHeight="1">
      <c r="D342" s="155"/>
      <c r="E342" s="154"/>
    </row>
    <row r="343" spans="4:5" ht="32.1" hidden="1" customHeight="1">
      <c r="D343" s="155"/>
      <c r="E343" s="154"/>
    </row>
    <row r="344" spans="4:5" ht="32.1" hidden="1" customHeight="1">
      <c r="D344" s="155"/>
      <c r="E344" s="154"/>
    </row>
    <row r="345" spans="4:5" ht="32.1" hidden="1" customHeight="1">
      <c r="D345" s="155"/>
      <c r="E345" s="154"/>
    </row>
    <row r="346" spans="4:5" ht="32.1" hidden="1" customHeight="1">
      <c r="D346" s="155"/>
      <c r="E346" s="154"/>
    </row>
    <row r="347" spans="4:5" ht="32.1" hidden="1" customHeight="1">
      <c r="D347" s="155"/>
      <c r="E347" s="154"/>
    </row>
    <row r="348" spans="4:5" ht="32.1" hidden="1" customHeight="1">
      <c r="D348" s="155"/>
      <c r="E348" s="154"/>
    </row>
    <row r="349" spans="4:5" ht="32.1" hidden="1" customHeight="1">
      <c r="D349" s="155"/>
      <c r="E349" s="154"/>
    </row>
    <row r="350" spans="4:5" ht="32.1" hidden="1" customHeight="1">
      <c r="D350" s="155"/>
      <c r="E350" s="154"/>
    </row>
    <row r="351" spans="4:5" ht="32.1" hidden="1" customHeight="1">
      <c r="D351" s="155"/>
      <c r="E351" s="154"/>
    </row>
    <row r="352" spans="4:5" ht="32.1" hidden="1" customHeight="1">
      <c r="D352" s="155"/>
      <c r="E352" s="154"/>
    </row>
    <row r="353" spans="4:5" ht="32.1" hidden="1" customHeight="1">
      <c r="D353" s="155"/>
      <c r="E353" s="154"/>
    </row>
    <row r="354" spans="4:5" ht="32.1" hidden="1" customHeight="1">
      <c r="D354" s="155"/>
      <c r="E354" s="154"/>
    </row>
    <row r="355" spans="4:5" ht="32.1" hidden="1" customHeight="1">
      <c r="D355" s="155"/>
      <c r="E355" s="154"/>
    </row>
    <row r="356" spans="4:5" ht="32.1" hidden="1" customHeight="1">
      <c r="D356" s="155"/>
      <c r="E356" s="154"/>
    </row>
    <row r="357" spans="4:5" ht="32.1" hidden="1" customHeight="1">
      <c r="D357" s="155"/>
      <c r="E357" s="154"/>
    </row>
    <row r="358" spans="4:5" ht="32.1" hidden="1" customHeight="1">
      <c r="D358" s="155"/>
      <c r="E358" s="154"/>
    </row>
    <row r="359" spans="4:5" ht="32.1" hidden="1" customHeight="1">
      <c r="D359" s="155"/>
      <c r="E359" s="154"/>
    </row>
    <row r="360" spans="4:5" ht="32.1" hidden="1" customHeight="1">
      <c r="D360" s="155"/>
      <c r="E360" s="154"/>
    </row>
    <row r="361" spans="4:5" ht="32.1" hidden="1" customHeight="1">
      <c r="D361" s="155"/>
      <c r="E361" s="154"/>
    </row>
    <row r="362" spans="4:5" ht="32.1" hidden="1" customHeight="1">
      <c r="D362" s="155"/>
      <c r="E362" s="154"/>
    </row>
    <row r="363" spans="4:5" ht="32.1" hidden="1" customHeight="1">
      <c r="D363" s="155"/>
      <c r="E363" s="154"/>
    </row>
    <row r="364" spans="4:5" ht="32.1" hidden="1" customHeight="1">
      <c r="D364" s="155"/>
      <c r="E364" s="154"/>
    </row>
    <row r="365" spans="4:5" ht="32.1" hidden="1" customHeight="1">
      <c r="D365" s="155"/>
      <c r="E365" s="154"/>
    </row>
    <row r="366" spans="4:5" ht="32.1" hidden="1" customHeight="1">
      <c r="D366" s="155"/>
      <c r="E366" s="154"/>
    </row>
    <row r="367" spans="4:5" ht="32.1" hidden="1" customHeight="1">
      <c r="D367" s="155"/>
      <c r="E367" s="154"/>
    </row>
    <row r="368" spans="4:5" ht="32.1" hidden="1" customHeight="1">
      <c r="D368" s="155"/>
      <c r="E368" s="154"/>
    </row>
    <row r="369" spans="4:5" ht="32.1" hidden="1" customHeight="1">
      <c r="D369" s="155"/>
      <c r="E369" s="154"/>
    </row>
    <row r="370" spans="4:5" ht="32.1" hidden="1" customHeight="1">
      <c r="D370" s="155"/>
      <c r="E370" s="154"/>
    </row>
    <row r="371" spans="4:5" ht="32.1" hidden="1" customHeight="1">
      <c r="D371" s="155"/>
      <c r="E371" s="154"/>
    </row>
    <row r="372" spans="4:5" ht="32.1" hidden="1" customHeight="1">
      <c r="D372" s="155"/>
      <c r="E372" s="154"/>
    </row>
    <row r="373" spans="4:5" ht="32.1" hidden="1" customHeight="1">
      <c r="D373" s="155"/>
      <c r="E373" s="154"/>
    </row>
    <row r="374" spans="4:5" ht="32.1" hidden="1" customHeight="1">
      <c r="D374" s="155"/>
      <c r="E374" s="154"/>
    </row>
    <row r="375" spans="4:5" ht="32.1" hidden="1" customHeight="1">
      <c r="D375" s="155"/>
      <c r="E375" s="154"/>
    </row>
    <row r="376" spans="4:5" ht="32.1" hidden="1" customHeight="1">
      <c r="D376" s="155"/>
      <c r="E376" s="154"/>
    </row>
    <row r="377" spans="4:5" ht="32.1" hidden="1" customHeight="1">
      <c r="D377" s="155"/>
      <c r="E377" s="154"/>
    </row>
    <row r="378" spans="4:5" ht="32.1" hidden="1" customHeight="1">
      <c r="D378" s="155"/>
      <c r="E378" s="154"/>
    </row>
    <row r="379" spans="4:5" ht="32.1" hidden="1" customHeight="1">
      <c r="D379" s="155"/>
      <c r="E379" s="154"/>
    </row>
    <row r="380" spans="4:5" ht="32.1" hidden="1" customHeight="1">
      <c r="D380" s="155"/>
      <c r="E380" s="154"/>
    </row>
    <row r="381" spans="4:5" ht="32.1" hidden="1" customHeight="1">
      <c r="D381" s="155"/>
      <c r="E381" s="154"/>
    </row>
    <row r="382" spans="4:5" ht="32.1" hidden="1" customHeight="1">
      <c r="D382" s="155"/>
      <c r="E382" s="154"/>
    </row>
    <row r="383" spans="4:5" ht="32.1" hidden="1" customHeight="1">
      <c r="D383" s="155"/>
      <c r="E383" s="154"/>
    </row>
    <row r="384" spans="4:5" ht="32.1" hidden="1" customHeight="1">
      <c r="D384" s="155"/>
      <c r="E384" s="154"/>
    </row>
    <row r="385" spans="4:5" ht="32.1" hidden="1" customHeight="1">
      <c r="D385" s="155"/>
      <c r="E385" s="154"/>
    </row>
    <row r="386" spans="4:5" ht="32.1" hidden="1" customHeight="1">
      <c r="D386" s="155"/>
      <c r="E386" s="154"/>
    </row>
    <row r="387" spans="4:5" ht="32.1" hidden="1" customHeight="1">
      <c r="D387" s="155"/>
      <c r="E387" s="154"/>
    </row>
    <row r="388" spans="4:5" ht="32.1" hidden="1" customHeight="1">
      <c r="D388" s="155"/>
      <c r="E388" s="154"/>
    </row>
    <row r="389" spans="4:5" ht="32.1" hidden="1" customHeight="1">
      <c r="D389" s="155"/>
      <c r="E389" s="154"/>
    </row>
    <row r="390" spans="4:5" ht="32.1" hidden="1" customHeight="1">
      <c r="D390" s="155"/>
      <c r="E390" s="154"/>
    </row>
    <row r="391" spans="4:5" ht="32.1" hidden="1" customHeight="1">
      <c r="D391" s="155"/>
      <c r="E391" s="154"/>
    </row>
    <row r="392" spans="4:5" ht="32.1" hidden="1" customHeight="1">
      <c r="D392" s="155"/>
      <c r="E392" s="154"/>
    </row>
    <row r="393" spans="4:5" ht="32.1" hidden="1" customHeight="1">
      <c r="D393" s="155"/>
      <c r="E393" s="154"/>
    </row>
    <row r="394" spans="4:5" ht="32.1" hidden="1" customHeight="1">
      <c r="D394" s="155"/>
      <c r="E394" s="154"/>
    </row>
    <row r="395" spans="4:5" ht="32.1" hidden="1" customHeight="1">
      <c r="D395" s="155"/>
      <c r="E395" s="154"/>
    </row>
    <row r="396" spans="4:5" ht="32.1" hidden="1" customHeight="1">
      <c r="D396" s="155"/>
      <c r="E396" s="154"/>
    </row>
    <row r="397" spans="4:5" ht="32.1" hidden="1" customHeight="1">
      <c r="D397" s="155"/>
      <c r="E397" s="154"/>
    </row>
    <row r="398" spans="4:5" ht="32.1" hidden="1" customHeight="1">
      <c r="D398" s="155"/>
      <c r="E398" s="154"/>
    </row>
    <row r="399" spans="4:5" ht="32.1" hidden="1" customHeight="1">
      <c r="D399" s="155"/>
      <c r="E399" s="154"/>
    </row>
    <row r="400" spans="4:5" ht="32.1" hidden="1" customHeight="1">
      <c r="D400" s="155"/>
      <c r="E400" s="154"/>
    </row>
    <row r="401" spans="4:5" ht="32.1" hidden="1" customHeight="1">
      <c r="D401" s="155"/>
      <c r="E401" s="154"/>
    </row>
    <row r="402" spans="4:5" ht="32.1" hidden="1" customHeight="1">
      <c r="D402" s="155"/>
      <c r="E402" s="154"/>
    </row>
    <row r="403" spans="4:5" ht="32.1" hidden="1" customHeight="1">
      <c r="D403" s="155"/>
      <c r="E403" s="154"/>
    </row>
    <row r="404" spans="4:5" ht="32.1" hidden="1" customHeight="1">
      <c r="D404" s="155"/>
      <c r="E404" s="154"/>
    </row>
    <row r="405" spans="4:5" ht="32.1" hidden="1" customHeight="1">
      <c r="D405" s="155"/>
      <c r="E405" s="154"/>
    </row>
    <row r="406" spans="4:5" ht="32.1" hidden="1" customHeight="1">
      <c r="D406" s="155"/>
      <c r="E406" s="154"/>
    </row>
    <row r="407" spans="4:5" ht="32.1" hidden="1" customHeight="1">
      <c r="D407" s="155"/>
      <c r="E407" s="154"/>
    </row>
    <row r="408" spans="4:5" ht="32.1" hidden="1" customHeight="1">
      <c r="D408" s="155"/>
      <c r="E408" s="154"/>
    </row>
    <row r="409" spans="4:5" ht="32.1" hidden="1" customHeight="1">
      <c r="D409" s="155"/>
      <c r="E409" s="154"/>
    </row>
    <row r="410" spans="4:5" ht="32.1" hidden="1" customHeight="1">
      <c r="D410" s="155"/>
      <c r="E410" s="154"/>
    </row>
    <row r="411" spans="4:5" ht="32.1" hidden="1" customHeight="1">
      <c r="D411" s="155"/>
      <c r="E411" s="154"/>
    </row>
    <row r="412" spans="4:5" ht="32.1" hidden="1" customHeight="1">
      <c r="D412" s="155"/>
      <c r="E412" s="154"/>
    </row>
    <row r="413" spans="4:5" ht="32.1" hidden="1" customHeight="1">
      <c r="D413" s="155"/>
      <c r="E413" s="154"/>
    </row>
    <row r="414" spans="4:5" ht="32.1" hidden="1" customHeight="1">
      <c r="D414" s="155"/>
      <c r="E414" s="154"/>
    </row>
    <row r="415" spans="4:5" ht="32.1" hidden="1" customHeight="1">
      <c r="D415" s="155"/>
      <c r="E415" s="154"/>
    </row>
    <row r="416" spans="4:5" ht="32.1" hidden="1" customHeight="1">
      <c r="D416" s="155"/>
      <c r="E416" s="154"/>
    </row>
    <row r="417" spans="4:5" ht="32.1" hidden="1" customHeight="1">
      <c r="D417" s="155"/>
      <c r="E417" s="154"/>
    </row>
    <row r="418" spans="4:5" ht="32.1" hidden="1" customHeight="1">
      <c r="D418" s="155"/>
      <c r="E418" s="154"/>
    </row>
    <row r="419" spans="4:5" ht="32.1" hidden="1" customHeight="1">
      <c r="D419" s="155"/>
      <c r="E419" s="154"/>
    </row>
    <row r="420" spans="4:5" ht="32.1" hidden="1" customHeight="1">
      <c r="D420" s="155"/>
      <c r="E420" s="154"/>
    </row>
    <row r="421" spans="4:5" ht="32.1" hidden="1" customHeight="1">
      <c r="D421" s="155"/>
      <c r="E421" s="154"/>
    </row>
    <row r="422" spans="4:5" ht="32.1" hidden="1" customHeight="1">
      <c r="D422" s="155"/>
      <c r="E422" s="154"/>
    </row>
    <row r="423" spans="4:5" ht="32.1" hidden="1" customHeight="1">
      <c r="D423" s="155"/>
      <c r="E423" s="154"/>
    </row>
    <row r="424" spans="4:5" ht="32.1" hidden="1" customHeight="1">
      <c r="D424" s="155"/>
      <c r="E424" s="154"/>
    </row>
    <row r="425" spans="4:5" ht="32.1" hidden="1" customHeight="1">
      <c r="D425" s="155"/>
      <c r="E425" s="154"/>
    </row>
    <row r="426" spans="4:5" ht="32.1" hidden="1" customHeight="1">
      <c r="D426" s="155"/>
      <c r="E426" s="154"/>
    </row>
    <row r="427" spans="4:5" ht="32.1" hidden="1" customHeight="1">
      <c r="D427" s="155"/>
      <c r="E427" s="154"/>
    </row>
    <row r="428" spans="4:5" ht="32.1" hidden="1" customHeight="1">
      <c r="D428" s="155"/>
      <c r="E428" s="154"/>
    </row>
    <row r="429" spans="4:5" ht="32.1" hidden="1" customHeight="1">
      <c r="D429" s="155"/>
      <c r="E429" s="154"/>
    </row>
    <row r="430" spans="4:5" ht="32.1" hidden="1" customHeight="1">
      <c r="D430" s="155"/>
      <c r="E430" s="154"/>
    </row>
    <row r="431" spans="4:5" ht="32.1" hidden="1" customHeight="1">
      <c r="D431" s="155"/>
      <c r="E431" s="154"/>
    </row>
    <row r="432" spans="4:5" ht="32.1" hidden="1" customHeight="1">
      <c r="D432" s="155"/>
      <c r="E432" s="154"/>
    </row>
    <row r="433" spans="4:5" ht="32.1" hidden="1" customHeight="1">
      <c r="D433" s="155"/>
      <c r="E433" s="154"/>
    </row>
    <row r="434" spans="4:5" ht="32.1" hidden="1" customHeight="1">
      <c r="D434" s="155"/>
      <c r="E434" s="154"/>
    </row>
    <row r="435" spans="4:5" ht="32.1" hidden="1" customHeight="1">
      <c r="D435" s="155"/>
      <c r="E435" s="154"/>
    </row>
    <row r="436" spans="4:5" ht="32.1" hidden="1" customHeight="1">
      <c r="D436" s="155"/>
      <c r="E436" s="154"/>
    </row>
    <row r="437" spans="4:5" ht="32.1" hidden="1" customHeight="1">
      <c r="D437" s="155"/>
      <c r="E437" s="154"/>
    </row>
    <row r="438" spans="4:5" ht="32.1" hidden="1" customHeight="1">
      <c r="D438" s="155"/>
      <c r="E438" s="154"/>
    </row>
    <row r="439" spans="4:5" ht="32.1" hidden="1" customHeight="1">
      <c r="D439" s="155"/>
      <c r="E439" s="154"/>
    </row>
    <row r="440" spans="4:5" ht="32.1" hidden="1" customHeight="1">
      <c r="D440" s="155"/>
      <c r="E440" s="154"/>
    </row>
    <row r="441" spans="4:5" ht="32.1" hidden="1" customHeight="1">
      <c r="D441" s="155"/>
      <c r="E441" s="154"/>
    </row>
    <row r="442" spans="4:5" ht="32.1" hidden="1" customHeight="1">
      <c r="D442" s="155"/>
      <c r="E442" s="154"/>
    </row>
    <row r="443" spans="4:5" ht="32.1" hidden="1" customHeight="1">
      <c r="D443" s="155"/>
      <c r="E443" s="154"/>
    </row>
    <row r="444" spans="4:5" ht="32.1" hidden="1" customHeight="1">
      <c r="D444" s="155"/>
      <c r="E444" s="154"/>
    </row>
    <row r="445" spans="4:5" ht="32.1" hidden="1" customHeight="1">
      <c r="D445" s="155"/>
      <c r="E445" s="154"/>
    </row>
    <row r="446" spans="4:5" ht="32.1" hidden="1" customHeight="1">
      <c r="D446" s="155"/>
      <c r="E446" s="154"/>
    </row>
    <row r="447" spans="4:5" ht="32.1" hidden="1" customHeight="1">
      <c r="D447" s="155"/>
      <c r="E447" s="154"/>
    </row>
    <row r="448" spans="4:5" ht="32.1" hidden="1" customHeight="1">
      <c r="D448" s="155"/>
      <c r="E448" s="154"/>
    </row>
    <row r="449" spans="4:5" ht="32.1" hidden="1" customHeight="1">
      <c r="D449" s="155"/>
      <c r="E449" s="154"/>
    </row>
    <row r="450" spans="4:5" ht="32.1" hidden="1" customHeight="1">
      <c r="D450" s="155"/>
      <c r="E450" s="154"/>
    </row>
    <row r="451" spans="4:5" ht="32.1" hidden="1" customHeight="1">
      <c r="D451" s="155"/>
      <c r="E451" s="154"/>
    </row>
    <row r="452" spans="4:5" ht="32.1" hidden="1" customHeight="1">
      <c r="D452" s="155"/>
      <c r="E452" s="154"/>
    </row>
    <row r="453" spans="4:5" ht="32.1" hidden="1" customHeight="1">
      <c r="D453" s="155"/>
      <c r="E453" s="154"/>
    </row>
    <row r="454" spans="4:5" ht="32.1" hidden="1" customHeight="1">
      <c r="D454" s="155"/>
      <c r="E454" s="154"/>
    </row>
    <row r="455" spans="4:5" ht="32.1" hidden="1" customHeight="1">
      <c r="D455" s="155"/>
      <c r="E455" s="154"/>
    </row>
    <row r="456" spans="4:5" ht="32.1" hidden="1" customHeight="1">
      <c r="D456" s="155"/>
      <c r="E456" s="154"/>
    </row>
    <row r="457" spans="4:5" ht="32.1" hidden="1" customHeight="1">
      <c r="D457" s="155"/>
      <c r="E457" s="154"/>
    </row>
    <row r="458" spans="4:5" ht="32.1" hidden="1" customHeight="1">
      <c r="D458" s="155"/>
      <c r="E458" s="154"/>
    </row>
    <row r="459" spans="4:5" ht="32.1" hidden="1" customHeight="1">
      <c r="D459" s="155"/>
      <c r="E459" s="154"/>
    </row>
    <row r="460" spans="4:5" ht="32.1" hidden="1" customHeight="1">
      <c r="D460" s="155"/>
      <c r="E460" s="154"/>
    </row>
    <row r="461" spans="4:5" ht="32.1" hidden="1" customHeight="1">
      <c r="D461" s="155"/>
      <c r="E461" s="154"/>
    </row>
    <row r="462" spans="4:5" ht="32.1" hidden="1" customHeight="1">
      <c r="D462" s="155"/>
      <c r="E462" s="154"/>
    </row>
    <row r="463" spans="4:5" ht="32.1" hidden="1" customHeight="1">
      <c r="D463" s="155"/>
      <c r="E463" s="154"/>
    </row>
    <row r="464" spans="4:5" ht="32.1" hidden="1" customHeight="1">
      <c r="D464" s="155"/>
      <c r="E464" s="154"/>
    </row>
  </sheetData>
  <autoFilter ref="A1:P198"/>
  <mergeCells count="6">
    <mergeCell ref="M1:M2"/>
    <mergeCell ref="A1:A2"/>
    <mergeCell ref="B1:B2"/>
    <mergeCell ref="C1:C2"/>
    <mergeCell ref="D1:D2"/>
    <mergeCell ref="E1:E2"/>
  </mergeCells>
  <phoneticPr fontId="11" type="noConversion"/>
  <printOptions horizontalCentered="1"/>
  <pageMargins left="0.19685039370078741" right="0.19685039370078741" top="1.3779527559055118" bottom="0.78740157480314965" header="0.78740157480314965" footer="0.19685039370078741"/>
  <pageSetup paperSize="9" orientation="portrait" horizontalDpi="4294967292" r:id="rId1"/>
  <headerFooter alignWithMargins="0">
    <oddHeader>&amp;C&amp;"굴림,굵게"&amp;18용 지 조 서&amp;R
&amp;"굴림,굵게"&amp;10세종시 조치원읍 죽림리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X429"/>
  <sheetViews>
    <sheetView showZeros="0" topLeftCell="I406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SUMIF(X302:X321,"천국",E302:E321)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X429"/>
  <sheetViews>
    <sheetView showZeros="0" workbookViewId="0">
      <selection activeCell="C10" sqref="C10"/>
    </sheetView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25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26</v>
      </c>
      <c r="B6" s="38" t="s">
        <v>27</v>
      </c>
      <c r="C6" s="14" t="s">
        <v>28</v>
      </c>
      <c r="D6" s="14" t="s">
        <v>29</v>
      </c>
      <c r="E6" s="15" t="s">
        <v>30</v>
      </c>
      <c r="F6" s="16" t="s">
        <v>31</v>
      </c>
      <c r="G6" s="16"/>
      <c r="H6" s="17" t="s">
        <v>32</v>
      </c>
      <c r="I6" s="18"/>
      <c r="J6" s="17" t="s">
        <v>33</v>
      </c>
      <c r="K6" s="16"/>
      <c r="L6" s="19"/>
      <c r="M6" s="20" t="s">
        <v>22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34</v>
      </c>
      <c r="B7" s="39"/>
      <c r="C7" s="22"/>
      <c r="D7" s="23" t="s">
        <v>40</v>
      </c>
      <c r="E7" s="23" t="s">
        <v>40</v>
      </c>
      <c r="F7" s="2" t="s">
        <v>28</v>
      </c>
      <c r="G7" s="24" t="s">
        <v>35</v>
      </c>
      <c r="H7" s="24" t="s">
        <v>36</v>
      </c>
      <c r="I7" s="24" t="s">
        <v>37</v>
      </c>
      <c r="J7" s="24" t="s">
        <v>36</v>
      </c>
      <c r="K7" s="24" t="s">
        <v>37</v>
      </c>
      <c r="L7" s="2" t="s">
        <v>38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7</v>
      </c>
      <c r="O8" s="28">
        <f>COUNTIF(C8:C27,"전")</f>
        <v>0</v>
      </c>
      <c r="P8" s="28" t="s">
        <v>5</v>
      </c>
      <c r="Q8" s="28">
        <f>SUMIF(C8:C27,"전",E8:E27)</f>
        <v>0</v>
      </c>
      <c r="R8" s="28">
        <f>COUNTIF(X8:X27,"전국")</f>
        <v>0</v>
      </c>
      <c r="S8" s="28" t="s">
        <v>5</v>
      </c>
      <c r="T8" s="28">
        <f>SUMIF(X8:X27,"전국",E8:E27)</f>
        <v>0</v>
      </c>
      <c r="U8" s="28">
        <f t="shared" ref="U8:U23" si="0">O8-R8</f>
        <v>0</v>
      </c>
      <c r="V8" s="28" t="s">
        <v>5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8</v>
      </c>
      <c r="O9" s="28">
        <f>COUNTIF(C8:C27,"답")</f>
        <v>0</v>
      </c>
      <c r="P9" s="28" t="s">
        <v>5</v>
      </c>
      <c r="Q9" s="28">
        <f>SUMIF(C8:C27,"답",E8:E27)</f>
        <v>0</v>
      </c>
      <c r="R9" s="28">
        <f>COUNTIF(X8:X27,"답국")</f>
        <v>0</v>
      </c>
      <c r="S9" s="28" t="s">
        <v>5</v>
      </c>
      <c r="T9" s="28">
        <f>SUMIF(X8:X27,"답국",E8:E27)</f>
        <v>0</v>
      </c>
      <c r="U9" s="28">
        <f t="shared" si="0"/>
        <v>0</v>
      </c>
      <c r="V9" s="28" t="s">
        <v>5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9</v>
      </c>
      <c r="O10" s="28">
        <f>COUNTIF(C8:C27,"임")</f>
        <v>0</v>
      </c>
      <c r="P10" s="28" t="s">
        <v>5</v>
      </c>
      <c r="Q10" s="28">
        <f>SUMIF(C8:C27,"임",E8:E27)</f>
        <v>0</v>
      </c>
      <c r="R10" s="28">
        <f>COUNTIF(X8:X27,"임국")</f>
        <v>0</v>
      </c>
      <c r="S10" s="28" t="s">
        <v>5</v>
      </c>
      <c r="T10" s="28">
        <f>SUMIF(X8:X27,"임국",E8:E27)</f>
        <v>0</v>
      </c>
      <c r="U10" s="28">
        <f t="shared" si="0"/>
        <v>0</v>
      </c>
      <c r="V10" s="28" t="s">
        <v>5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10</v>
      </c>
      <c r="O11" s="28">
        <f>COUNTIF(C8:C27,"대")</f>
        <v>0</v>
      </c>
      <c r="P11" s="28" t="s">
        <v>5</v>
      </c>
      <c r="Q11" s="28">
        <f>SUMIF(C8:C27,"대",E8:E27)</f>
        <v>0</v>
      </c>
      <c r="R11" s="28">
        <f>COUNTIF(X8:X27,"대국")</f>
        <v>0</v>
      </c>
      <c r="S11" s="28" t="s">
        <v>5</v>
      </c>
      <c r="T11" s="28">
        <f>SUMIF(X8:X27,"대국",E8:E27)</f>
        <v>0</v>
      </c>
      <c r="U11" s="28">
        <f t="shared" si="0"/>
        <v>0</v>
      </c>
      <c r="V11" s="28" t="s">
        <v>5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11</v>
      </c>
      <c r="O12" s="28">
        <f>COUNTIF(C8:C27,"도")</f>
        <v>0</v>
      </c>
      <c r="P12" s="28" t="s">
        <v>5</v>
      </c>
      <c r="Q12" s="28">
        <f>SUMIF(C8:C27,"도",E8:E27)</f>
        <v>0</v>
      </c>
      <c r="R12" s="28">
        <f>COUNTIF(X8:X27,"도국")</f>
        <v>0</v>
      </c>
      <c r="S12" s="28" t="s">
        <v>5</v>
      </c>
      <c r="T12" s="28">
        <f>SUMIF(X8:X27,"도국",E8:E27)</f>
        <v>0</v>
      </c>
      <c r="U12" s="28">
        <f t="shared" si="0"/>
        <v>0</v>
      </c>
      <c r="V12" s="28" t="s">
        <v>5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12</v>
      </c>
      <c r="O13" s="28">
        <f>COUNTIF(C8:C27,"천")</f>
        <v>0</v>
      </c>
      <c r="P13" s="28" t="s">
        <v>5</v>
      </c>
      <c r="Q13" s="28">
        <f>SUMIF(C8:C27,"천",E8:E27)</f>
        <v>0</v>
      </c>
      <c r="R13" s="28">
        <f>COUNTIF(X8:X27,"천국")</f>
        <v>0</v>
      </c>
      <c r="S13" s="28" t="s">
        <v>5</v>
      </c>
      <c r="T13" s="28">
        <f>SUMIF(X8:X27,"천국",E8:E27)</f>
        <v>0</v>
      </c>
      <c r="U13" s="28">
        <f t="shared" si="0"/>
        <v>0</v>
      </c>
      <c r="V13" s="28" t="s">
        <v>5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13</v>
      </c>
      <c r="O14" s="28">
        <f>COUNTIF(C8:C27,"구")</f>
        <v>0</v>
      </c>
      <c r="P14" s="28" t="s">
        <v>5</v>
      </c>
      <c r="Q14" s="28">
        <f>SUMIF(C8:C27,"구",E8:E27)</f>
        <v>0</v>
      </c>
      <c r="R14" s="28">
        <f>COUNTIF(X8:X27,"구국")</f>
        <v>0</v>
      </c>
      <c r="S14" s="28" t="s">
        <v>5</v>
      </c>
      <c r="T14" s="28">
        <f>SUMIF(X8:X27,"구국",E8:E27)</f>
        <v>0</v>
      </c>
      <c r="U14" s="28">
        <f t="shared" si="0"/>
        <v>0</v>
      </c>
      <c r="V14" s="28" t="s">
        <v>5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14</v>
      </c>
      <c r="O15" s="28">
        <f>COUNTIF(C8:C27,"제")</f>
        <v>0</v>
      </c>
      <c r="P15" s="28" t="s">
        <v>5</v>
      </c>
      <c r="Q15" s="28">
        <f>SUMIF(C8:C27,"제",E8:E27)</f>
        <v>0</v>
      </c>
      <c r="R15" s="28">
        <f>COUNTIF(X8:X27,"제국")</f>
        <v>0</v>
      </c>
      <c r="S15" s="28" t="s">
        <v>5</v>
      </c>
      <c r="T15" s="28">
        <f>SUMIF(X8:X27,"제국",E8:E27)</f>
        <v>0</v>
      </c>
      <c r="U15" s="28">
        <f t="shared" si="0"/>
        <v>0</v>
      </c>
      <c r="V15" s="28" t="s">
        <v>5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15</v>
      </c>
      <c r="O16" s="28">
        <f>COUNTIF(C8:C27,"유")</f>
        <v>0</v>
      </c>
      <c r="P16" s="28" t="s">
        <v>5</v>
      </c>
      <c r="Q16" s="28">
        <f>SUMIF(C8:C27,"유",E8:E27)</f>
        <v>0</v>
      </c>
      <c r="R16" s="28">
        <f>COUNTIF(X8:X27,"유국")</f>
        <v>0</v>
      </c>
      <c r="S16" s="28" t="s">
        <v>5</v>
      </c>
      <c r="T16" s="28">
        <f>SUMIF(X8:X27,"유국",E8:E27)</f>
        <v>0</v>
      </c>
      <c r="U16" s="28">
        <f t="shared" si="0"/>
        <v>0</v>
      </c>
      <c r="V16" s="28" t="s">
        <v>5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16</v>
      </c>
      <c r="O17" s="28">
        <f>COUNTIF(C8:C27,"과")</f>
        <v>0</v>
      </c>
      <c r="P17" s="28" t="s">
        <v>5</v>
      </c>
      <c r="Q17" s="28">
        <f>SUMIF(C8:C27,"과",E8:E27)</f>
        <v>0</v>
      </c>
      <c r="R17" s="28">
        <f>COUNTIF(X8:X27,"과국")</f>
        <v>0</v>
      </c>
      <c r="S17" s="28" t="s">
        <v>5</v>
      </c>
      <c r="T17" s="28">
        <f>SUMIF(X8:X27,"과국",E8:E27)</f>
        <v>0</v>
      </c>
      <c r="U17" s="28">
        <f t="shared" si="0"/>
        <v>0</v>
      </c>
      <c r="V17" s="28" t="s">
        <v>5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17</v>
      </c>
      <c r="O18" s="28">
        <f>COUNTIF(C8:C27,"묘")</f>
        <v>0</v>
      </c>
      <c r="P18" s="28" t="s">
        <v>5</v>
      </c>
      <c r="Q18" s="28">
        <f>SUMIF(C8:C27,"묘",E8:E27)</f>
        <v>0</v>
      </c>
      <c r="R18" s="28">
        <f>COUNTIF(X8:X27,"묘국")</f>
        <v>0</v>
      </c>
      <c r="S18" s="28" t="s">
        <v>5</v>
      </c>
      <c r="T18" s="28">
        <f>SUMIF(X8:X27,"묘국",E8:E27)</f>
        <v>0</v>
      </c>
      <c r="U18" s="28">
        <f t="shared" si="0"/>
        <v>0</v>
      </c>
      <c r="V18" s="28" t="s">
        <v>5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18</v>
      </c>
      <c r="O19" s="28">
        <f>COUNTIF(C8:C27,"목")</f>
        <v>0</v>
      </c>
      <c r="P19" s="28" t="s">
        <v>5</v>
      </c>
      <c r="Q19" s="28">
        <f>SUMIF(C8:C27,"목",E8:E27)</f>
        <v>0</v>
      </c>
      <c r="R19" s="28">
        <f>COUNTIF(X8:X27,"목국")</f>
        <v>0</v>
      </c>
      <c r="S19" s="28" t="s">
        <v>5</v>
      </c>
      <c r="T19" s="28">
        <f>SUMIF(X8:X27,"목국",E8:E27)</f>
        <v>0</v>
      </c>
      <c r="U19" s="28">
        <f t="shared" si="0"/>
        <v>0</v>
      </c>
      <c r="V19" s="28" t="s">
        <v>5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19</v>
      </c>
      <c r="O20" s="28">
        <f>COUNTIF(C8:C27,"잡")</f>
        <v>0</v>
      </c>
      <c r="P20" s="28" t="s">
        <v>5</v>
      </c>
      <c r="Q20" s="28">
        <f>SUMIF(C8:C27,"잡",E8:E27)</f>
        <v>0</v>
      </c>
      <c r="R20" s="28">
        <f>COUNTIF(X8:X27,"잡국")</f>
        <v>0</v>
      </c>
      <c r="S20" s="28" t="s">
        <v>5</v>
      </c>
      <c r="T20" s="28">
        <f>SUMIF(X8:X27,"잡국",E8:E27)</f>
        <v>0</v>
      </c>
      <c r="U20" s="28">
        <f t="shared" si="0"/>
        <v>0</v>
      </c>
      <c r="V20" s="28" t="s">
        <v>5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23</v>
      </c>
      <c r="O21" s="28">
        <f>COUNTIF(C8:C27,"학")</f>
        <v>0</v>
      </c>
      <c r="P21" s="28" t="s">
        <v>5</v>
      </c>
      <c r="Q21" s="28">
        <f>SUMIF(C8:C27,"학",E8:E27)</f>
        <v>0</v>
      </c>
      <c r="R21" s="28">
        <f>COUNTIF(X8:X27,"학국")</f>
        <v>0</v>
      </c>
      <c r="S21" s="28" t="s">
        <v>5</v>
      </c>
      <c r="T21" s="28">
        <f>SUMIF(X8:X27,"학국",E8:E27)</f>
        <v>0</v>
      </c>
      <c r="U21" s="28">
        <f t="shared" si="0"/>
        <v>0</v>
      </c>
      <c r="V21" s="28" t="s">
        <v>5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20</v>
      </c>
      <c r="O22" s="28">
        <f>COUNTIF(C8:C27,"수")</f>
        <v>0</v>
      </c>
      <c r="P22" s="28" t="s">
        <v>5</v>
      </c>
      <c r="Q22" s="28">
        <f>SUMIF(C8:C27,"수",E8:E27)</f>
        <v>0</v>
      </c>
      <c r="R22" s="28">
        <f>COUNTIF(X8:X27,"수국")</f>
        <v>0</v>
      </c>
      <c r="S22" s="28" t="s">
        <v>5</v>
      </c>
      <c r="T22" s="28">
        <f>SUMIF(X8:X27,"수국",E8:E27)</f>
        <v>0</v>
      </c>
      <c r="U22" s="28">
        <f t="shared" si="0"/>
        <v>0</v>
      </c>
      <c r="V22" s="28" t="s">
        <v>5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21</v>
      </c>
      <c r="O23" s="28">
        <f>COUNTIF(C8:C27,"장")</f>
        <v>0</v>
      </c>
      <c r="P23" s="28" t="s">
        <v>5</v>
      </c>
      <c r="Q23" s="28">
        <f>SUMIF(C8:C27,"장",E8:E27)</f>
        <v>0</v>
      </c>
      <c r="R23" s="28">
        <f>COUNTIF(X8:X27,"장국")</f>
        <v>0</v>
      </c>
      <c r="S23" s="28" t="s">
        <v>5</v>
      </c>
      <c r="T23" s="28">
        <f>SUMIF(X8:X27,"장국",E8:E27)</f>
        <v>0</v>
      </c>
      <c r="U23" s="28">
        <f t="shared" si="0"/>
        <v>0</v>
      </c>
      <c r="V23" s="28" t="s">
        <v>5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24</v>
      </c>
      <c r="O27" s="28">
        <f>COUNTIF(C8:C27," ")</f>
        <v>0</v>
      </c>
      <c r="P27" s="28" t="s">
        <v>5</v>
      </c>
      <c r="Q27" s="28">
        <f>SUMIF(C8:C27," ",E8:E27)</f>
        <v>0</v>
      </c>
      <c r="R27" s="28"/>
      <c r="S27" s="28" t="s">
        <v>5</v>
      </c>
      <c r="T27" s="28"/>
      <c r="U27" s="28">
        <f>O27</f>
        <v>0</v>
      </c>
      <c r="V27" s="28" t="s">
        <v>5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39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3</v>
      </c>
      <c r="O28" s="28">
        <f>SUM(O8:O27)</f>
        <v>0</v>
      </c>
      <c r="P28" s="28" t="s">
        <v>5</v>
      </c>
      <c r="Q28" s="28">
        <f>SUM(Q8:Q27)</f>
        <v>0</v>
      </c>
      <c r="R28" s="28">
        <f>SUM(R8:R27)</f>
        <v>0</v>
      </c>
      <c r="S28" s="28" t="s">
        <v>5</v>
      </c>
      <c r="T28" s="28">
        <f>SUM(T8:T27)</f>
        <v>0</v>
      </c>
      <c r="U28" s="28">
        <f>SUM(U8:U27)</f>
        <v>0</v>
      </c>
      <c r="V28" s="28" t="s">
        <v>5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7</v>
      </c>
      <c r="O29" s="28">
        <f>COUNTIF(C29:C48,"전")</f>
        <v>0</v>
      </c>
      <c r="P29" s="28" t="s">
        <v>5</v>
      </c>
      <c r="Q29" s="28">
        <f>SUMIF(C29:C48,"전",E29:E48)</f>
        <v>0</v>
      </c>
      <c r="R29" s="28">
        <f>COUNTIF(X29:X48,"전국")</f>
        <v>0</v>
      </c>
      <c r="S29" s="28" t="s">
        <v>5</v>
      </c>
      <c r="T29" s="28">
        <f>SUMIF(X29:X48,"전국",E29:E48)</f>
        <v>0</v>
      </c>
      <c r="U29" s="28">
        <f t="shared" ref="U29:U44" si="5">O29-R29</f>
        <v>0</v>
      </c>
      <c r="V29" s="28" t="s">
        <v>5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8</v>
      </c>
      <c r="O30" s="28">
        <f>COUNTIF(C29:C48,"답")</f>
        <v>0</v>
      </c>
      <c r="P30" s="28" t="s">
        <v>5</v>
      </c>
      <c r="Q30" s="28">
        <f>SUMIF(C29:C48,"답",E29:E48)</f>
        <v>0</v>
      </c>
      <c r="R30" s="28">
        <f>COUNTIF(X29:X48,"답국")</f>
        <v>0</v>
      </c>
      <c r="S30" s="28" t="s">
        <v>5</v>
      </c>
      <c r="T30" s="28">
        <f>SUMIF(X29:X48,"답국",E29:E48)</f>
        <v>0</v>
      </c>
      <c r="U30" s="28">
        <f t="shared" si="5"/>
        <v>0</v>
      </c>
      <c r="V30" s="28" t="s">
        <v>5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9</v>
      </c>
      <c r="O31" s="28">
        <f>COUNTIF(C29:C48,"임")</f>
        <v>0</v>
      </c>
      <c r="P31" s="28" t="s">
        <v>5</v>
      </c>
      <c r="Q31" s="28">
        <f>SUMIF(C29:C48,"임",E29:E48)</f>
        <v>0</v>
      </c>
      <c r="R31" s="28">
        <f>COUNTIF(X29:X48,"임국")</f>
        <v>0</v>
      </c>
      <c r="S31" s="28" t="s">
        <v>5</v>
      </c>
      <c r="T31" s="28">
        <f>SUMIF(X29:X48,"임국",E29:E48)</f>
        <v>0</v>
      </c>
      <c r="U31" s="28">
        <f t="shared" si="5"/>
        <v>0</v>
      </c>
      <c r="V31" s="28" t="s">
        <v>5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10</v>
      </c>
      <c r="O32" s="28">
        <f>COUNTIF(C29:C48,"대")</f>
        <v>0</v>
      </c>
      <c r="P32" s="28" t="s">
        <v>5</v>
      </c>
      <c r="Q32" s="28">
        <f>SUMIF(C29:C48,"대",E29:E48)</f>
        <v>0</v>
      </c>
      <c r="R32" s="28">
        <f>COUNTIF(X29:X48,"대국")</f>
        <v>0</v>
      </c>
      <c r="S32" s="28" t="s">
        <v>5</v>
      </c>
      <c r="T32" s="28">
        <f>SUMIF(X29:X48,"대국",E29:E48)</f>
        <v>0</v>
      </c>
      <c r="U32" s="28">
        <f t="shared" si="5"/>
        <v>0</v>
      </c>
      <c r="V32" s="28" t="s">
        <v>5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11</v>
      </c>
      <c r="O33" s="28">
        <f>COUNTIF(C29:C48,"도")</f>
        <v>0</v>
      </c>
      <c r="P33" s="28" t="s">
        <v>5</v>
      </c>
      <c r="Q33" s="28">
        <f>SUMIF(C29:C48,"도",E29:E48)</f>
        <v>0</v>
      </c>
      <c r="R33" s="28">
        <f>COUNTIF(X29:X48,"도국")</f>
        <v>0</v>
      </c>
      <c r="S33" s="28" t="s">
        <v>5</v>
      </c>
      <c r="T33" s="28">
        <f>SUMIF(X29:X48,"도국",E29:E48)</f>
        <v>0</v>
      </c>
      <c r="U33" s="28">
        <f t="shared" si="5"/>
        <v>0</v>
      </c>
      <c r="V33" s="28" t="s">
        <v>5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12</v>
      </c>
      <c r="O34" s="28">
        <f>COUNTIF(C29:C48,"천")</f>
        <v>0</v>
      </c>
      <c r="P34" s="28" t="s">
        <v>5</v>
      </c>
      <c r="Q34" s="28">
        <f>SUMIF(C29:C48,"천",E29:E48)</f>
        <v>0</v>
      </c>
      <c r="R34" s="28">
        <f>COUNTIF(X29:X48,"천국")</f>
        <v>0</v>
      </c>
      <c r="S34" s="28" t="s">
        <v>5</v>
      </c>
      <c r="T34" s="28">
        <f>SUMIF(X29:X48,"천국",E29:E48)</f>
        <v>0</v>
      </c>
      <c r="U34" s="28">
        <f t="shared" si="5"/>
        <v>0</v>
      </c>
      <c r="V34" s="28" t="s">
        <v>5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13</v>
      </c>
      <c r="O35" s="28">
        <f>COUNTIF(C29:C48,"구")</f>
        <v>0</v>
      </c>
      <c r="P35" s="28" t="s">
        <v>5</v>
      </c>
      <c r="Q35" s="28">
        <f>SUMIF(C29:C48,"구",E29:E48)</f>
        <v>0</v>
      </c>
      <c r="R35" s="28">
        <f>COUNTIF(X29:X48,"구국")</f>
        <v>0</v>
      </c>
      <c r="S35" s="28" t="s">
        <v>5</v>
      </c>
      <c r="T35" s="28">
        <f>SUMIF(X29:X48,"구국",E29:E48)</f>
        <v>0</v>
      </c>
      <c r="U35" s="28">
        <f t="shared" si="5"/>
        <v>0</v>
      </c>
      <c r="V35" s="28" t="s">
        <v>5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14</v>
      </c>
      <c r="O36" s="28">
        <f>COUNTIF(C29:C48,"제")</f>
        <v>0</v>
      </c>
      <c r="P36" s="28" t="s">
        <v>5</v>
      </c>
      <c r="Q36" s="28">
        <f>SUMIF(C29:C48,"제",E29:E48)</f>
        <v>0</v>
      </c>
      <c r="R36" s="28">
        <f>COUNTIF(X29:X48,"제국")</f>
        <v>0</v>
      </c>
      <c r="S36" s="28" t="s">
        <v>5</v>
      </c>
      <c r="T36" s="28">
        <f>SUMIF(X29:X48,"제국",E29:E48)</f>
        <v>0</v>
      </c>
      <c r="U36" s="28">
        <f t="shared" si="5"/>
        <v>0</v>
      </c>
      <c r="V36" s="28" t="s">
        <v>5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15</v>
      </c>
      <c r="O37" s="28">
        <f>COUNTIF(C29:C48,"유")</f>
        <v>0</v>
      </c>
      <c r="P37" s="28" t="s">
        <v>5</v>
      </c>
      <c r="Q37" s="28">
        <f>SUMIF(C29:C48,"유",E29:E48)</f>
        <v>0</v>
      </c>
      <c r="R37" s="28">
        <f>COUNTIF(X29:X48,"유국")</f>
        <v>0</v>
      </c>
      <c r="S37" s="28" t="s">
        <v>5</v>
      </c>
      <c r="T37" s="28">
        <f>SUMIF(X29:X48,"유국",E29:E48)</f>
        <v>0</v>
      </c>
      <c r="U37" s="28">
        <f t="shared" si="5"/>
        <v>0</v>
      </c>
      <c r="V37" s="28" t="s">
        <v>5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16</v>
      </c>
      <c r="O38" s="28">
        <f>COUNTIF(C29:C48,"과")</f>
        <v>0</v>
      </c>
      <c r="P38" s="28" t="s">
        <v>5</v>
      </c>
      <c r="Q38" s="28">
        <f>SUMIF(C29:C48,"과",E29:E48)</f>
        <v>0</v>
      </c>
      <c r="R38" s="28">
        <f>COUNTIF(X29:X48,"과국")</f>
        <v>0</v>
      </c>
      <c r="S38" s="28" t="s">
        <v>5</v>
      </c>
      <c r="T38" s="28">
        <f>SUMIF(X29:X48,"과국",E29:E48)</f>
        <v>0</v>
      </c>
      <c r="U38" s="28">
        <f t="shared" si="5"/>
        <v>0</v>
      </c>
      <c r="V38" s="28" t="s">
        <v>5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17</v>
      </c>
      <c r="O39" s="28">
        <f>COUNTIF(C29:C48,"묘")</f>
        <v>0</v>
      </c>
      <c r="P39" s="28" t="s">
        <v>5</v>
      </c>
      <c r="Q39" s="28">
        <f>SUMIF(C29:C48,"묘",E29:E48)</f>
        <v>0</v>
      </c>
      <c r="R39" s="28">
        <f>COUNTIF(X29:X48,"묘국")</f>
        <v>0</v>
      </c>
      <c r="S39" s="28" t="s">
        <v>5</v>
      </c>
      <c r="T39" s="28">
        <f>SUMIF(X29:X48,"묘국",E29:E48)</f>
        <v>0</v>
      </c>
      <c r="U39" s="28">
        <f t="shared" si="5"/>
        <v>0</v>
      </c>
      <c r="V39" s="28" t="s">
        <v>5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18</v>
      </c>
      <c r="O40" s="28">
        <f>COUNTIF(C29:C48,"목")</f>
        <v>0</v>
      </c>
      <c r="P40" s="28" t="s">
        <v>5</v>
      </c>
      <c r="Q40" s="28">
        <f>SUMIF(C29:C48,"목",E29:E48)</f>
        <v>0</v>
      </c>
      <c r="R40" s="28">
        <f>COUNTIF(X29:X48,"목국")</f>
        <v>0</v>
      </c>
      <c r="S40" s="28" t="s">
        <v>5</v>
      </c>
      <c r="T40" s="28">
        <f>SUMIF(X29:X48,"목국",E29:E48)</f>
        <v>0</v>
      </c>
      <c r="U40" s="28">
        <f t="shared" si="5"/>
        <v>0</v>
      </c>
      <c r="V40" s="28" t="s">
        <v>5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19</v>
      </c>
      <c r="O41" s="28">
        <f>COUNTIF(C29:C48,"잡")</f>
        <v>0</v>
      </c>
      <c r="P41" s="28" t="s">
        <v>5</v>
      </c>
      <c r="Q41" s="28">
        <f>SUMIF(C29:C48,"잡",E29:E48)</f>
        <v>0</v>
      </c>
      <c r="R41" s="28">
        <f>COUNTIF(X29:X48,"잡국")</f>
        <v>0</v>
      </c>
      <c r="S41" s="28" t="s">
        <v>5</v>
      </c>
      <c r="T41" s="28">
        <f>SUMIF(X29:X48,"잡국",E29:E48)</f>
        <v>0</v>
      </c>
      <c r="U41" s="28">
        <f t="shared" si="5"/>
        <v>0</v>
      </c>
      <c r="V41" s="28" t="s">
        <v>5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23</v>
      </c>
      <c r="O42" s="28">
        <f>COUNTIF(C29:C48,"학")</f>
        <v>0</v>
      </c>
      <c r="P42" s="28" t="s">
        <v>5</v>
      </c>
      <c r="Q42" s="28">
        <f>SUMIF(C29:C48,"학",E29:E48)</f>
        <v>0</v>
      </c>
      <c r="R42" s="28">
        <f>COUNTIF(X29:X48,"학국")</f>
        <v>0</v>
      </c>
      <c r="S42" s="28" t="s">
        <v>5</v>
      </c>
      <c r="T42" s="28">
        <f>SUMIF(X29:X48,"학국",E29:E48)</f>
        <v>0</v>
      </c>
      <c r="U42" s="28">
        <f t="shared" si="5"/>
        <v>0</v>
      </c>
      <c r="V42" s="28" t="s">
        <v>5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20</v>
      </c>
      <c r="O43" s="28">
        <f>COUNTIF(C29:C48,"수")</f>
        <v>0</v>
      </c>
      <c r="P43" s="28" t="s">
        <v>5</v>
      </c>
      <c r="Q43" s="28">
        <f>SUMIF(C29:C48,"수",E29:E48)</f>
        <v>0</v>
      </c>
      <c r="R43" s="28">
        <f>COUNTIF(X29:X48,"수국")</f>
        <v>0</v>
      </c>
      <c r="S43" s="28" t="s">
        <v>5</v>
      </c>
      <c r="T43" s="28">
        <f>SUMIF(X29:X48,"수국",E29:E48)</f>
        <v>0</v>
      </c>
      <c r="U43" s="28">
        <f t="shared" si="5"/>
        <v>0</v>
      </c>
      <c r="V43" s="28" t="s">
        <v>5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21</v>
      </c>
      <c r="O44" s="28">
        <f>COUNTIF(C29:C48,"장")</f>
        <v>0</v>
      </c>
      <c r="P44" s="28" t="s">
        <v>5</v>
      </c>
      <c r="Q44" s="28">
        <f>SUMIF(C29:C48,"장",E29:E48)</f>
        <v>0</v>
      </c>
      <c r="R44" s="28">
        <f>COUNTIF(X29:X48,"장국")</f>
        <v>0</v>
      </c>
      <c r="S44" s="28" t="s">
        <v>5</v>
      </c>
      <c r="T44" s="28">
        <f>SUMIF(X29:X48,"장국",E29:E48)</f>
        <v>0</v>
      </c>
      <c r="U44" s="28">
        <f t="shared" si="5"/>
        <v>0</v>
      </c>
      <c r="V44" s="28" t="s">
        <v>5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24</v>
      </c>
      <c r="O48" s="28">
        <f>COUNTIF(C29:C48," ")</f>
        <v>0</v>
      </c>
      <c r="P48" s="28" t="s">
        <v>5</v>
      </c>
      <c r="Q48" s="28">
        <f>SUMIF(C29:C48," ",E29:E48)</f>
        <v>0</v>
      </c>
      <c r="R48" s="28"/>
      <c r="S48" s="28" t="s">
        <v>5</v>
      </c>
      <c r="T48" s="28"/>
      <c r="U48" s="28">
        <f>O48</f>
        <v>0</v>
      </c>
      <c r="V48" s="28" t="s">
        <v>5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39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3</v>
      </c>
      <c r="O49" s="28">
        <f>SUM(O29:O48)</f>
        <v>0</v>
      </c>
      <c r="P49" s="28" t="s">
        <v>5</v>
      </c>
      <c r="Q49" s="28">
        <f>SUM(Q29:Q48)</f>
        <v>0</v>
      </c>
      <c r="R49" s="28">
        <f>SUM(R29:R48)</f>
        <v>0</v>
      </c>
      <c r="S49" s="28" t="s">
        <v>5</v>
      </c>
      <c r="T49" s="28">
        <f>SUM(T29:T48)</f>
        <v>0</v>
      </c>
      <c r="U49" s="28">
        <f>SUM(U29:U48)</f>
        <v>0</v>
      </c>
      <c r="V49" s="28" t="s">
        <v>5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7</v>
      </c>
      <c r="O50" s="28">
        <f>COUNTIF(C50:C69,"전")</f>
        <v>0</v>
      </c>
      <c r="P50" s="28" t="s">
        <v>5</v>
      </c>
      <c r="Q50" s="28">
        <f>SUMIF(C50:C69,"전",E50:E69)</f>
        <v>0</v>
      </c>
      <c r="R50" s="28">
        <f>COUNTIF(X50:X69,"전국")</f>
        <v>0</v>
      </c>
      <c r="S50" s="28" t="s">
        <v>5</v>
      </c>
      <c r="T50" s="28">
        <f>SUMIF(X50:X69,"전국",E50:E69)</f>
        <v>0</v>
      </c>
      <c r="U50" s="28">
        <f t="shared" ref="U50:U65" si="9">O50-R50</f>
        <v>0</v>
      </c>
      <c r="V50" s="28" t="s">
        <v>5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8</v>
      </c>
      <c r="O51" s="28">
        <f>COUNTIF(C50:C69,"답")</f>
        <v>0</v>
      </c>
      <c r="P51" s="28" t="s">
        <v>5</v>
      </c>
      <c r="Q51" s="28">
        <f>SUMIF(C50:C69,"답",E50:E69)</f>
        <v>0</v>
      </c>
      <c r="R51" s="28">
        <f>COUNTIF(X50:X69,"답국")</f>
        <v>0</v>
      </c>
      <c r="S51" s="28" t="s">
        <v>5</v>
      </c>
      <c r="T51" s="28">
        <f>SUMIF(X50:X69,"답국",E50:E69)</f>
        <v>0</v>
      </c>
      <c r="U51" s="28">
        <f t="shared" si="9"/>
        <v>0</v>
      </c>
      <c r="V51" s="28" t="s">
        <v>5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9</v>
      </c>
      <c r="O52" s="28">
        <f>COUNTIF(C50:C69,"임")</f>
        <v>0</v>
      </c>
      <c r="P52" s="28" t="s">
        <v>5</v>
      </c>
      <c r="Q52" s="28">
        <f>SUMIF(C50:C69,"임",E50:E69)</f>
        <v>0</v>
      </c>
      <c r="R52" s="28">
        <f>COUNTIF(X50:X69,"임국")</f>
        <v>0</v>
      </c>
      <c r="S52" s="28" t="s">
        <v>5</v>
      </c>
      <c r="T52" s="28">
        <f>SUMIF(X50:X69,"임국",E50:E69)</f>
        <v>0</v>
      </c>
      <c r="U52" s="28">
        <f t="shared" si="9"/>
        <v>0</v>
      </c>
      <c r="V52" s="28" t="s">
        <v>5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10</v>
      </c>
      <c r="O53" s="28">
        <f>COUNTIF(C50:C69,"대")</f>
        <v>0</v>
      </c>
      <c r="P53" s="28" t="s">
        <v>5</v>
      </c>
      <c r="Q53" s="28">
        <f>SUMIF(C50:C69,"대",E50:E69)</f>
        <v>0</v>
      </c>
      <c r="R53" s="28">
        <f>COUNTIF(X50:X69,"대국")</f>
        <v>0</v>
      </c>
      <c r="S53" s="28" t="s">
        <v>5</v>
      </c>
      <c r="T53" s="28">
        <f>SUMIF(X50:X69,"대국",E50:E69)</f>
        <v>0</v>
      </c>
      <c r="U53" s="28">
        <f t="shared" si="9"/>
        <v>0</v>
      </c>
      <c r="V53" s="28" t="s">
        <v>5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11</v>
      </c>
      <c r="O54" s="28">
        <f>COUNTIF(C50:C69,"도")</f>
        <v>0</v>
      </c>
      <c r="P54" s="28" t="s">
        <v>5</v>
      </c>
      <c r="Q54" s="28">
        <f>SUMIF(C50:C69,"도",E50:E69)</f>
        <v>0</v>
      </c>
      <c r="R54" s="28">
        <f>COUNTIF(X50:X69,"도국")</f>
        <v>0</v>
      </c>
      <c r="S54" s="28" t="s">
        <v>5</v>
      </c>
      <c r="T54" s="28">
        <f>SUMIF(X50:X69,"도국",E50:E69)</f>
        <v>0</v>
      </c>
      <c r="U54" s="28">
        <f t="shared" si="9"/>
        <v>0</v>
      </c>
      <c r="V54" s="28" t="s">
        <v>5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12</v>
      </c>
      <c r="O55" s="28">
        <f>COUNTIF(C50:C69,"천")</f>
        <v>0</v>
      </c>
      <c r="P55" s="28" t="s">
        <v>5</v>
      </c>
      <c r="Q55" s="28">
        <f>SUMIF(C50:C69,"천",E50:E69)</f>
        <v>0</v>
      </c>
      <c r="R55" s="28">
        <f>COUNTIF(X50:X69,"천국")</f>
        <v>0</v>
      </c>
      <c r="S55" s="28" t="s">
        <v>5</v>
      </c>
      <c r="T55" s="28">
        <f>SUMIF(X50:X69,"천국",E50:E69)</f>
        <v>0</v>
      </c>
      <c r="U55" s="28">
        <f t="shared" si="9"/>
        <v>0</v>
      </c>
      <c r="V55" s="28" t="s">
        <v>5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13</v>
      </c>
      <c r="O56" s="28">
        <f>COUNTIF(C50:C69,"구")</f>
        <v>0</v>
      </c>
      <c r="P56" s="28" t="s">
        <v>5</v>
      </c>
      <c r="Q56" s="28">
        <f>SUMIF(C50:C69,"구",E50:E69)</f>
        <v>0</v>
      </c>
      <c r="R56" s="28">
        <f>COUNTIF(X50:X69,"구국")</f>
        <v>0</v>
      </c>
      <c r="S56" s="28" t="s">
        <v>5</v>
      </c>
      <c r="T56" s="28">
        <f>SUMIF(X50:X69,"구국",E50:E69)</f>
        <v>0</v>
      </c>
      <c r="U56" s="28">
        <f t="shared" si="9"/>
        <v>0</v>
      </c>
      <c r="V56" s="28" t="s">
        <v>5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14</v>
      </c>
      <c r="O57" s="28">
        <f>COUNTIF(C50:C69,"제")</f>
        <v>0</v>
      </c>
      <c r="P57" s="28" t="s">
        <v>5</v>
      </c>
      <c r="Q57" s="28">
        <f>SUMIF(C50:C69,"제",E50:E69)</f>
        <v>0</v>
      </c>
      <c r="R57" s="28">
        <f>COUNTIF(X50:X69,"제국")</f>
        <v>0</v>
      </c>
      <c r="S57" s="28" t="s">
        <v>5</v>
      </c>
      <c r="T57" s="28">
        <f>SUMIF(X50:X69,"제국",E50:E69)</f>
        <v>0</v>
      </c>
      <c r="U57" s="28">
        <f t="shared" si="9"/>
        <v>0</v>
      </c>
      <c r="V57" s="28" t="s">
        <v>5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15</v>
      </c>
      <c r="O58" s="28">
        <f>COUNTIF(C50:C69,"유")</f>
        <v>0</v>
      </c>
      <c r="P58" s="28" t="s">
        <v>5</v>
      </c>
      <c r="Q58" s="28">
        <f>SUMIF(C50:C69,"유",E50:E69)</f>
        <v>0</v>
      </c>
      <c r="R58" s="28">
        <f>COUNTIF(X50:X69,"유국")</f>
        <v>0</v>
      </c>
      <c r="S58" s="28" t="s">
        <v>5</v>
      </c>
      <c r="T58" s="28">
        <f>SUMIF(X50:X69,"유국",E50:E69)</f>
        <v>0</v>
      </c>
      <c r="U58" s="28">
        <f t="shared" si="9"/>
        <v>0</v>
      </c>
      <c r="V58" s="28" t="s">
        <v>5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16</v>
      </c>
      <c r="O59" s="28">
        <f>COUNTIF(C50:C69,"과")</f>
        <v>0</v>
      </c>
      <c r="P59" s="28" t="s">
        <v>5</v>
      </c>
      <c r="Q59" s="28">
        <f>SUMIF(C50:C69,"과",E50:E69)</f>
        <v>0</v>
      </c>
      <c r="R59" s="28">
        <f>COUNTIF(X50:X69,"과국")</f>
        <v>0</v>
      </c>
      <c r="S59" s="28" t="s">
        <v>5</v>
      </c>
      <c r="T59" s="28">
        <f>SUMIF(X50:X69,"과국",E50:E69)</f>
        <v>0</v>
      </c>
      <c r="U59" s="28">
        <f t="shared" si="9"/>
        <v>0</v>
      </c>
      <c r="V59" s="28" t="s">
        <v>5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17</v>
      </c>
      <c r="O60" s="28">
        <f>COUNTIF(C50:C69,"묘")</f>
        <v>0</v>
      </c>
      <c r="P60" s="28" t="s">
        <v>5</v>
      </c>
      <c r="Q60" s="28">
        <f>SUMIF(C50:C69,"묘",E50:E69)</f>
        <v>0</v>
      </c>
      <c r="R60" s="28">
        <f>COUNTIF(X50:X69,"묘국")</f>
        <v>0</v>
      </c>
      <c r="S60" s="28" t="s">
        <v>5</v>
      </c>
      <c r="T60" s="28">
        <f>SUMIF(X50:X69,"묘국",E50:E69)</f>
        <v>0</v>
      </c>
      <c r="U60" s="28">
        <f t="shared" si="9"/>
        <v>0</v>
      </c>
      <c r="V60" s="28" t="s">
        <v>5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18</v>
      </c>
      <c r="O61" s="28">
        <f>COUNTIF(C50:C69,"목")</f>
        <v>0</v>
      </c>
      <c r="P61" s="28" t="s">
        <v>5</v>
      </c>
      <c r="Q61" s="28">
        <f>SUMIF(C50:C69,"목",E50:E69)</f>
        <v>0</v>
      </c>
      <c r="R61" s="28">
        <f>COUNTIF(X50:X69,"목국")</f>
        <v>0</v>
      </c>
      <c r="S61" s="28" t="s">
        <v>5</v>
      </c>
      <c r="T61" s="28">
        <f>SUMIF(X50:X69,"목국",E50:E69)</f>
        <v>0</v>
      </c>
      <c r="U61" s="28">
        <f t="shared" si="9"/>
        <v>0</v>
      </c>
      <c r="V61" s="28" t="s">
        <v>5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19</v>
      </c>
      <c r="O62" s="28">
        <f>COUNTIF(C50:C69,"잡")</f>
        <v>0</v>
      </c>
      <c r="P62" s="28" t="s">
        <v>5</v>
      </c>
      <c r="Q62" s="28">
        <f>SUMIF(C50:C69,"잡",E50:E69)</f>
        <v>0</v>
      </c>
      <c r="R62" s="28">
        <f>COUNTIF(X50:X69,"잡국")</f>
        <v>0</v>
      </c>
      <c r="S62" s="28" t="s">
        <v>5</v>
      </c>
      <c r="T62" s="28">
        <f>SUMIF(X50:X69,"잡국",E50:E69)</f>
        <v>0</v>
      </c>
      <c r="U62" s="28">
        <f t="shared" si="9"/>
        <v>0</v>
      </c>
      <c r="V62" s="28" t="s">
        <v>5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23</v>
      </c>
      <c r="O63" s="28">
        <f>COUNTIF(C50:C69,"학")</f>
        <v>0</v>
      </c>
      <c r="P63" s="28" t="s">
        <v>5</v>
      </c>
      <c r="Q63" s="28">
        <f>SUMIF(C50:C69,"학",E50:E69)</f>
        <v>0</v>
      </c>
      <c r="R63" s="28">
        <f>COUNTIF(X50:X69,"학국")</f>
        <v>0</v>
      </c>
      <c r="S63" s="28" t="s">
        <v>5</v>
      </c>
      <c r="T63" s="28">
        <f>SUMIF(X50:X69,"학국",E50:E69)</f>
        <v>0</v>
      </c>
      <c r="U63" s="28">
        <f t="shared" si="9"/>
        <v>0</v>
      </c>
      <c r="V63" s="28" t="s">
        <v>5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20</v>
      </c>
      <c r="O64" s="28">
        <f>COUNTIF(C50:C69,"수")</f>
        <v>0</v>
      </c>
      <c r="P64" s="28" t="s">
        <v>5</v>
      </c>
      <c r="Q64" s="28">
        <f>SUMIF(C50:C69,"수",E50:E69)</f>
        <v>0</v>
      </c>
      <c r="R64" s="28">
        <f>COUNTIF(X50:X69,"수국")</f>
        <v>0</v>
      </c>
      <c r="S64" s="28" t="s">
        <v>5</v>
      </c>
      <c r="T64" s="28">
        <f>SUMIF(X50:X69,"수국",E50:E69)</f>
        <v>0</v>
      </c>
      <c r="U64" s="28">
        <f t="shared" si="9"/>
        <v>0</v>
      </c>
      <c r="V64" s="28" t="s">
        <v>5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21</v>
      </c>
      <c r="O65" s="28">
        <f>COUNTIF(C50:C69,"장")</f>
        <v>0</v>
      </c>
      <c r="P65" s="28" t="s">
        <v>5</v>
      </c>
      <c r="Q65" s="28">
        <f>SUMIF(C50:C69,"장",E50:E69)</f>
        <v>0</v>
      </c>
      <c r="R65" s="28">
        <f>COUNTIF(X50:X69,"장국")</f>
        <v>0</v>
      </c>
      <c r="S65" s="28" t="s">
        <v>5</v>
      </c>
      <c r="T65" s="28">
        <f>SUMIF(X50:X69,"장국",E50:E69)</f>
        <v>0</v>
      </c>
      <c r="U65" s="28">
        <f t="shared" si="9"/>
        <v>0</v>
      </c>
      <c r="V65" s="28" t="s">
        <v>5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24</v>
      </c>
      <c r="O69" s="28">
        <f>COUNTIF(C50:C69," ")</f>
        <v>0</v>
      </c>
      <c r="P69" s="28" t="s">
        <v>5</v>
      </c>
      <c r="Q69" s="28">
        <f>SUMIF(C50:C69," ",E50:E69)</f>
        <v>0</v>
      </c>
      <c r="R69" s="28"/>
      <c r="S69" s="28" t="s">
        <v>5</v>
      </c>
      <c r="T69" s="28"/>
      <c r="U69" s="28">
        <f>O69</f>
        <v>0</v>
      </c>
      <c r="V69" s="28" t="s">
        <v>5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39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3</v>
      </c>
      <c r="O70" s="28">
        <f>SUM(O50:O69)</f>
        <v>0</v>
      </c>
      <c r="P70" s="28" t="s">
        <v>5</v>
      </c>
      <c r="Q70" s="28">
        <f>SUM(Q50:Q69)</f>
        <v>0</v>
      </c>
      <c r="R70" s="28">
        <f>SUM(R50:R69)</f>
        <v>0</v>
      </c>
      <c r="S70" s="28" t="s">
        <v>5</v>
      </c>
      <c r="T70" s="28">
        <f>SUM(T50:T69)</f>
        <v>0</v>
      </c>
      <c r="U70" s="28">
        <f>SUM(U50:U69)</f>
        <v>0</v>
      </c>
      <c r="V70" s="28" t="s">
        <v>5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7</v>
      </c>
      <c r="O71" s="28">
        <f>COUNTIF(C71:C90,"전")</f>
        <v>0</v>
      </c>
      <c r="P71" s="28" t="s">
        <v>5</v>
      </c>
      <c r="Q71" s="28">
        <f>SUMIF(C71:C90,"전",E71:E90)</f>
        <v>0</v>
      </c>
      <c r="R71" s="28">
        <f>COUNTIF(X71:X90,"전국")</f>
        <v>0</v>
      </c>
      <c r="S71" s="28" t="s">
        <v>5</v>
      </c>
      <c r="T71" s="28">
        <f>SUMIF(X71:X90,"전국",E71:E90)</f>
        <v>0</v>
      </c>
      <c r="U71" s="28">
        <f t="shared" ref="U71:U86" si="13">O71-R71</f>
        <v>0</v>
      </c>
      <c r="V71" s="28" t="s">
        <v>5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8</v>
      </c>
      <c r="O72" s="28">
        <f>COUNTIF(C71:C90,"답")</f>
        <v>0</v>
      </c>
      <c r="P72" s="28" t="s">
        <v>5</v>
      </c>
      <c r="Q72" s="28">
        <f>SUMIF(C71:C90,"답",E71:E90)</f>
        <v>0</v>
      </c>
      <c r="R72" s="28">
        <f>COUNTIF(X71:X90,"답국")</f>
        <v>0</v>
      </c>
      <c r="S72" s="28" t="s">
        <v>5</v>
      </c>
      <c r="T72" s="28">
        <f>SUMIF(X71:X90,"답국",E71:E90)</f>
        <v>0</v>
      </c>
      <c r="U72" s="28">
        <f t="shared" si="13"/>
        <v>0</v>
      </c>
      <c r="V72" s="28" t="s">
        <v>5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9</v>
      </c>
      <c r="O73" s="28">
        <f>COUNTIF(C71:C90,"임")</f>
        <v>0</v>
      </c>
      <c r="P73" s="28" t="s">
        <v>5</v>
      </c>
      <c r="Q73" s="28">
        <f>SUMIF(C71:C90,"임",E71:E90)</f>
        <v>0</v>
      </c>
      <c r="R73" s="28">
        <f>COUNTIF(X71:X90,"임국")</f>
        <v>0</v>
      </c>
      <c r="S73" s="28" t="s">
        <v>5</v>
      </c>
      <c r="T73" s="28">
        <f>SUMIF(X71:X90,"임국",E71:E90)</f>
        <v>0</v>
      </c>
      <c r="U73" s="28">
        <f t="shared" si="13"/>
        <v>0</v>
      </c>
      <c r="V73" s="28" t="s">
        <v>5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10</v>
      </c>
      <c r="O74" s="28">
        <f>COUNTIF(C71:C90,"대")</f>
        <v>0</v>
      </c>
      <c r="P74" s="28" t="s">
        <v>5</v>
      </c>
      <c r="Q74" s="28">
        <f>SUMIF(C71:C90,"대",E71:E90)</f>
        <v>0</v>
      </c>
      <c r="R74" s="28">
        <f>COUNTIF(X71:X90,"대국")</f>
        <v>0</v>
      </c>
      <c r="S74" s="28" t="s">
        <v>5</v>
      </c>
      <c r="T74" s="28">
        <f>SUMIF(X71:X90,"대국",E71:E90)</f>
        <v>0</v>
      </c>
      <c r="U74" s="28">
        <f t="shared" si="13"/>
        <v>0</v>
      </c>
      <c r="V74" s="28" t="s">
        <v>5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11</v>
      </c>
      <c r="O75" s="28">
        <f>COUNTIF(C71:C90,"도")</f>
        <v>0</v>
      </c>
      <c r="P75" s="28" t="s">
        <v>5</v>
      </c>
      <c r="Q75" s="28">
        <f>SUMIF(C71:C90,"도",E71:E90)</f>
        <v>0</v>
      </c>
      <c r="R75" s="28">
        <f>COUNTIF(X71:X90,"도국")</f>
        <v>0</v>
      </c>
      <c r="S75" s="28" t="s">
        <v>5</v>
      </c>
      <c r="T75" s="28">
        <f>SUMIF(X71:X90,"도국",E71:E90)</f>
        <v>0</v>
      </c>
      <c r="U75" s="28">
        <f t="shared" si="13"/>
        <v>0</v>
      </c>
      <c r="V75" s="28" t="s">
        <v>5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12</v>
      </c>
      <c r="O76" s="28">
        <f>COUNTIF(C71:C90,"천")</f>
        <v>0</v>
      </c>
      <c r="P76" s="28" t="s">
        <v>5</v>
      </c>
      <c r="Q76" s="28">
        <f>SUMIF(C71:C90,"천",E71:E90)</f>
        <v>0</v>
      </c>
      <c r="R76" s="28">
        <f>COUNTIF(X71:X90,"천국")</f>
        <v>0</v>
      </c>
      <c r="S76" s="28" t="s">
        <v>5</v>
      </c>
      <c r="T76" s="28">
        <f>SUMIF(X71:X90,"천국",E71:E90)</f>
        <v>0</v>
      </c>
      <c r="U76" s="28">
        <f t="shared" si="13"/>
        <v>0</v>
      </c>
      <c r="V76" s="28" t="s">
        <v>5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13</v>
      </c>
      <c r="O77" s="28">
        <f>COUNTIF(C71:C90,"구")</f>
        <v>0</v>
      </c>
      <c r="P77" s="28" t="s">
        <v>5</v>
      </c>
      <c r="Q77" s="28">
        <f>SUMIF(C71:C90,"구",E71:E90)</f>
        <v>0</v>
      </c>
      <c r="R77" s="28">
        <f>COUNTIF(X71:X90,"구국")</f>
        <v>0</v>
      </c>
      <c r="S77" s="28" t="s">
        <v>5</v>
      </c>
      <c r="T77" s="28">
        <f>SUMIF(X71:X90,"구국",E71:E90)</f>
        <v>0</v>
      </c>
      <c r="U77" s="28">
        <f t="shared" si="13"/>
        <v>0</v>
      </c>
      <c r="V77" s="28" t="s">
        <v>5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14</v>
      </c>
      <c r="O78" s="28">
        <f>COUNTIF(C71:C90,"제")</f>
        <v>0</v>
      </c>
      <c r="P78" s="28" t="s">
        <v>5</v>
      </c>
      <c r="Q78" s="28">
        <f>SUMIF(C71:C90,"제",E71:E90)</f>
        <v>0</v>
      </c>
      <c r="R78" s="28">
        <f>COUNTIF(X71:X90,"제국")</f>
        <v>0</v>
      </c>
      <c r="S78" s="28" t="s">
        <v>5</v>
      </c>
      <c r="T78" s="28">
        <f>SUMIF(X71:X90,"제국",E71:E90)</f>
        <v>0</v>
      </c>
      <c r="U78" s="28">
        <f t="shared" si="13"/>
        <v>0</v>
      </c>
      <c r="V78" s="28" t="s">
        <v>5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15</v>
      </c>
      <c r="O79" s="28">
        <f>COUNTIF(C71:C90,"유")</f>
        <v>0</v>
      </c>
      <c r="P79" s="28" t="s">
        <v>5</v>
      </c>
      <c r="Q79" s="28">
        <f>SUMIF(C71:C90,"유",E71:E90)</f>
        <v>0</v>
      </c>
      <c r="R79" s="28">
        <f>COUNTIF(X71:X90,"유국")</f>
        <v>0</v>
      </c>
      <c r="S79" s="28" t="s">
        <v>5</v>
      </c>
      <c r="T79" s="28">
        <f>SUMIF(X71:X90,"유국",E71:E90)</f>
        <v>0</v>
      </c>
      <c r="U79" s="28">
        <f t="shared" si="13"/>
        <v>0</v>
      </c>
      <c r="V79" s="28" t="s">
        <v>5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16</v>
      </c>
      <c r="O80" s="28">
        <f>COUNTIF(C71:C90,"과")</f>
        <v>0</v>
      </c>
      <c r="P80" s="28" t="s">
        <v>5</v>
      </c>
      <c r="Q80" s="28">
        <f>SUMIF(C71:C90,"과",E71:E90)</f>
        <v>0</v>
      </c>
      <c r="R80" s="28">
        <f>COUNTIF(X71:X90,"과국")</f>
        <v>0</v>
      </c>
      <c r="S80" s="28" t="s">
        <v>5</v>
      </c>
      <c r="T80" s="28">
        <f>SUMIF(X71:X90,"과국",E71:E90)</f>
        <v>0</v>
      </c>
      <c r="U80" s="28">
        <f t="shared" si="13"/>
        <v>0</v>
      </c>
      <c r="V80" s="28" t="s">
        <v>5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17</v>
      </c>
      <c r="O81" s="28">
        <f>COUNTIF(C71:C90,"묘")</f>
        <v>0</v>
      </c>
      <c r="P81" s="28" t="s">
        <v>5</v>
      </c>
      <c r="Q81" s="28">
        <f>SUMIF(C71:C90,"묘",E71:E90)</f>
        <v>0</v>
      </c>
      <c r="R81" s="28">
        <f>COUNTIF(X71:X90,"묘국")</f>
        <v>0</v>
      </c>
      <c r="S81" s="28" t="s">
        <v>5</v>
      </c>
      <c r="T81" s="28">
        <f>SUMIF(X71:X90,"묘국",E71:E90)</f>
        <v>0</v>
      </c>
      <c r="U81" s="28">
        <f t="shared" si="13"/>
        <v>0</v>
      </c>
      <c r="V81" s="28" t="s">
        <v>5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18</v>
      </c>
      <c r="O82" s="28">
        <f>COUNTIF(C71:C90,"목")</f>
        <v>0</v>
      </c>
      <c r="P82" s="28" t="s">
        <v>5</v>
      </c>
      <c r="Q82" s="28">
        <f>SUMIF(C71:C90,"목",E71:E90)</f>
        <v>0</v>
      </c>
      <c r="R82" s="28">
        <f>COUNTIF(X71:X90,"목국")</f>
        <v>0</v>
      </c>
      <c r="S82" s="28" t="s">
        <v>5</v>
      </c>
      <c r="T82" s="28">
        <f>SUMIF(X71:X90,"목국",E71:E90)</f>
        <v>0</v>
      </c>
      <c r="U82" s="28">
        <f t="shared" si="13"/>
        <v>0</v>
      </c>
      <c r="V82" s="28" t="s">
        <v>5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19</v>
      </c>
      <c r="O83" s="28">
        <f>COUNTIF(C71:C90,"잡")</f>
        <v>0</v>
      </c>
      <c r="P83" s="28" t="s">
        <v>5</v>
      </c>
      <c r="Q83" s="28">
        <f>SUMIF(C71:C90,"잡",E71:E90)</f>
        <v>0</v>
      </c>
      <c r="R83" s="28">
        <f>COUNTIF(X71:X90,"잡국")</f>
        <v>0</v>
      </c>
      <c r="S83" s="28" t="s">
        <v>5</v>
      </c>
      <c r="T83" s="28">
        <f>SUMIF(X71:X90,"잡국",E71:E90)</f>
        <v>0</v>
      </c>
      <c r="U83" s="28">
        <f t="shared" si="13"/>
        <v>0</v>
      </c>
      <c r="V83" s="28" t="s">
        <v>5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23</v>
      </c>
      <c r="O84" s="28">
        <f>COUNTIF(C71:C90,"학")</f>
        <v>0</v>
      </c>
      <c r="P84" s="28" t="s">
        <v>5</v>
      </c>
      <c r="Q84" s="28">
        <f>SUMIF(C71:C90,"학",E71:E90)</f>
        <v>0</v>
      </c>
      <c r="R84" s="28">
        <f>COUNTIF(X71:X90,"학국")</f>
        <v>0</v>
      </c>
      <c r="S84" s="28" t="s">
        <v>5</v>
      </c>
      <c r="T84" s="28">
        <f>SUMIF(X71:X90,"학국",E71:E90)</f>
        <v>0</v>
      </c>
      <c r="U84" s="28">
        <f t="shared" si="13"/>
        <v>0</v>
      </c>
      <c r="V84" s="28" t="s">
        <v>5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20</v>
      </c>
      <c r="O85" s="28">
        <f>COUNTIF(C71:C90,"수")</f>
        <v>0</v>
      </c>
      <c r="P85" s="28" t="s">
        <v>5</v>
      </c>
      <c r="Q85" s="28">
        <f>SUMIF(C71:C90,"수",E71:E90)</f>
        <v>0</v>
      </c>
      <c r="R85" s="28">
        <f>COUNTIF(X71:X90,"수국")</f>
        <v>0</v>
      </c>
      <c r="S85" s="28" t="s">
        <v>5</v>
      </c>
      <c r="T85" s="28">
        <f>SUMIF(X71:X90,"수국",E71:E90)</f>
        <v>0</v>
      </c>
      <c r="U85" s="28">
        <f t="shared" si="13"/>
        <v>0</v>
      </c>
      <c r="V85" s="28" t="s">
        <v>5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21</v>
      </c>
      <c r="O86" s="28">
        <f>COUNTIF(C71:C90,"장")</f>
        <v>0</v>
      </c>
      <c r="P86" s="28" t="s">
        <v>5</v>
      </c>
      <c r="Q86" s="28">
        <f>SUMIF(C71:C90,"장",E71:E90)</f>
        <v>0</v>
      </c>
      <c r="R86" s="28">
        <f>COUNTIF(X71:X90,"장국")</f>
        <v>0</v>
      </c>
      <c r="S86" s="28" t="s">
        <v>5</v>
      </c>
      <c r="T86" s="28">
        <f>SUMIF(X71:X90,"장국",E71:E90)</f>
        <v>0</v>
      </c>
      <c r="U86" s="28">
        <f t="shared" si="13"/>
        <v>0</v>
      </c>
      <c r="V86" s="28" t="s">
        <v>5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24</v>
      </c>
      <c r="O90" s="28">
        <f>COUNTIF(C71:C90," ")</f>
        <v>0</v>
      </c>
      <c r="P90" s="28" t="s">
        <v>5</v>
      </c>
      <c r="Q90" s="28">
        <f>SUMIF(C71:C90," ",E71:E90)</f>
        <v>0</v>
      </c>
      <c r="R90" s="28"/>
      <c r="S90" s="28" t="s">
        <v>5</v>
      </c>
      <c r="T90" s="28"/>
      <c r="U90" s="28">
        <f>O90</f>
        <v>0</v>
      </c>
      <c r="V90" s="28" t="s">
        <v>5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39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3</v>
      </c>
      <c r="O91" s="28">
        <f>SUM(O71:O90)</f>
        <v>0</v>
      </c>
      <c r="P91" s="28" t="s">
        <v>5</v>
      </c>
      <c r="Q91" s="28">
        <f>SUM(Q71:Q90)</f>
        <v>0</v>
      </c>
      <c r="R91" s="28">
        <f>SUM(R71:R90)</f>
        <v>0</v>
      </c>
      <c r="S91" s="28" t="s">
        <v>5</v>
      </c>
      <c r="T91" s="28">
        <f>SUM(T71:T90)</f>
        <v>0</v>
      </c>
      <c r="U91" s="28">
        <f>SUM(U71:U90)</f>
        <v>0</v>
      </c>
      <c r="V91" s="28" t="s">
        <v>5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7</v>
      </c>
      <c r="O92" s="28">
        <f>COUNTIF(C92:C111,"전")</f>
        <v>0</v>
      </c>
      <c r="P92" s="28" t="s">
        <v>5</v>
      </c>
      <c r="Q92" s="28">
        <f>SUMIF(C92:C111,"전",E92:E111)</f>
        <v>0</v>
      </c>
      <c r="R92" s="28">
        <f>COUNTIF(X92:X111,"전국")</f>
        <v>0</v>
      </c>
      <c r="S92" s="28" t="s">
        <v>5</v>
      </c>
      <c r="T92" s="28">
        <f>SUMIF(X92:X111,"전국",E92:E111)</f>
        <v>0</v>
      </c>
      <c r="U92" s="28">
        <f t="shared" ref="U92:U107" si="19">O92-R92</f>
        <v>0</v>
      </c>
      <c r="V92" s="28" t="s">
        <v>5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8</v>
      </c>
      <c r="O93" s="28">
        <f>COUNTIF(C92:C111,"답")</f>
        <v>0</v>
      </c>
      <c r="P93" s="28" t="s">
        <v>5</v>
      </c>
      <c r="Q93" s="28">
        <f>SUMIF(C92:C111,"답",E92:E111)</f>
        <v>0</v>
      </c>
      <c r="R93" s="28">
        <f>COUNTIF(X92:X111,"답국")</f>
        <v>0</v>
      </c>
      <c r="S93" s="28" t="s">
        <v>5</v>
      </c>
      <c r="T93" s="28">
        <f>SUMIF(X92:X111,"답국",E92:E111)</f>
        <v>0</v>
      </c>
      <c r="U93" s="28">
        <f t="shared" si="19"/>
        <v>0</v>
      </c>
      <c r="V93" s="28" t="s">
        <v>5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9</v>
      </c>
      <c r="O94" s="28">
        <f>COUNTIF(C92:C111,"임")</f>
        <v>0</v>
      </c>
      <c r="P94" s="28" t="s">
        <v>5</v>
      </c>
      <c r="Q94" s="28">
        <f>SUMIF(C92:C111,"임",E92:E111)</f>
        <v>0</v>
      </c>
      <c r="R94" s="28">
        <f>COUNTIF(X92:X111,"임국")</f>
        <v>0</v>
      </c>
      <c r="S94" s="28" t="s">
        <v>5</v>
      </c>
      <c r="T94" s="28">
        <f>SUMIF(X92:X111,"임국",E92:E111)</f>
        <v>0</v>
      </c>
      <c r="U94" s="28">
        <f t="shared" si="19"/>
        <v>0</v>
      </c>
      <c r="V94" s="28" t="s">
        <v>5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10</v>
      </c>
      <c r="O95" s="28">
        <f>COUNTIF(C92:C111,"대")</f>
        <v>0</v>
      </c>
      <c r="P95" s="28" t="s">
        <v>5</v>
      </c>
      <c r="Q95" s="28">
        <f>SUMIF(C92:C111,"대",E92:E111)</f>
        <v>0</v>
      </c>
      <c r="R95" s="28">
        <f>COUNTIF(X92:X111,"대국")</f>
        <v>0</v>
      </c>
      <c r="S95" s="28" t="s">
        <v>5</v>
      </c>
      <c r="T95" s="28">
        <f>SUMIF(X92:X111,"대국",E92:E111)</f>
        <v>0</v>
      </c>
      <c r="U95" s="28">
        <f t="shared" si="19"/>
        <v>0</v>
      </c>
      <c r="V95" s="28" t="s">
        <v>5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11</v>
      </c>
      <c r="O96" s="28">
        <f>COUNTIF(C92:C111,"도")</f>
        <v>0</v>
      </c>
      <c r="P96" s="28" t="s">
        <v>5</v>
      </c>
      <c r="Q96" s="28">
        <f>SUMIF(C92:C111,"도",E92:E111)</f>
        <v>0</v>
      </c>
      <c r="R96" s="28">
        <f>COUNTIF(X92:X111,"도국")</f>
        <v>0</v>
      </c>
      <c r="S96" s="28" t="s">
        <v>5</v>
      </c>
      <c r="T96" s="28">
        <f>SUMIF(X92:X111,"도국",E92:E111)</f>
        <v>0</v>
      </c>
      <c r="U96" s="28">
        <f t="shared" si="19"/>
        <v>0</v>
      </c>
      <c r="V96" s="28" t="s">
        <v>5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12</v>
      </c>
      <c r="O97" s="28">
        <f>COUNTIF(C92:C111,"천")</f>
        <v>0</v>
      </c>
      <c r="P97" s="28" t="s">
        <v>5</v>
      </c>
      <c r="Q97" s="28">
        <f>SUMIF(C92:C111,"천",E92:E111)</f>
        <v>0</v>
      </c>
      <c r="R97" s="28">
        <f>COUNTIF(X92:X111,"천국")</f>
        <v>0</v>
      </c>
      <c r="S97" s="28" t="s">
        <v>5</v>
      </c>
      <c r="T97" s="28">
        <f>SUMIF(X92:X111,"천국",E92:E111)</f>
        <v>0</v>
      </c>
      <c r="U97" s="28">
        <f t="shared" si="19"/>
        <v>0</v>
      </c>
      <c r="V97" s="28" t="s">
        <v>5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13</v>
      </c>
      <c r="O98" s="28">
        <f>COUNTIF(C92:C111,"구")</f>
        <v>0</v>
      </c>
      <c r="P98" s="28" t="s">
        <v>5</v>
      </c>
      <c r="Q98" s="28">
        <f>SUMIF(C92:C111,"구",E92:E111)</f>
        <v>0</v>
      </c>
      <c r="R98" s="28">
        <f>COUNTIF(X92:X111,"구국")</f>
        <v>0</v>
      </c>
      <c r="S98" s="28" t="s">
        <v>5</v>
      </c>
      <c r="T98" s="28">
        <f>SUMIF(X92:X111,"구국",E92:E111)</f>
        <v>0</v>
      </c>
      <c r="U98" s="28">
        <f t="shared" si="19"/>
        <v>0</v>
      </c>
      <c r="V98" s="28" t="s">
        <v>5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14</v>
      </c>
      <c r="O99" s="28">
        <f>COUNTIF(C92:C111,"제")</f>
        <v>0</v>
      </c>
      <c r="P99" s="28" t="s">
        <v>5</v>
      </c>
      <c r="Q99" s="28">
        <f>SUMIF(C92:C111,"제",E92:E111)</f>
        <v>0</v>
      </c>
      <c r="R99" s="28">
        <f>COUNTIF(X92:X111,"제국")</f>
        <v>0</v>
      </c>
      <c r="S99" s="28" t="s">
        <v>5</v>
      </c>
      <c r="T99" s="28">
        <f>SUMIF(X92:X111,"제국",E92:E111)</f>
        <v>0</v>
      </c>
      <c r="U99" s="28">
        <f t="shared" si="19"/>
        <v>0</v>
      </c>
      <c r="V99" s="28" t="s">
        <v>5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15</v>
      </c>
      <c r="O100" s="28">
        <f>COUNTIF(C92:C111,"유")</f>
        <v>0</v>
      </c>
      <c r="P100" s="28" t="s">
        <v>5</v>
      </c>
      <c r="Q100" s="28">
        <f>SUMIF(C92:C111,"유",E92:E111)</f>
        <v>0</v>
      </c>
      <c r="R100" s="28">
        <f>COUNTIF(X92:X111,"유국")</f>
        <v>0</v>
      </c>
      <c r="S100" s="28" t="s">
        <v>5</v>
      </c>
      <c r="T100" s="28">
        <f>SUMIF(X92:X111,"유국",E92:E111)</f>
        <v>0</v>
      </c>
      <c r="U100" s="28">
        <f t="shared" si="19"/>
        <v>0</v>
      </c>
      <c r="V100" s="28" t="s">
        <v>5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16</v>
      </c>
      <c r="O101" s="28">
        <f>COUNTIF(C92:C111,"과")</f>
        <v>0</v>
      </c>
      <c r="P101" s="28" t="s">
        <v>5</v>
      </c>
      <c r="Q101" s="28">
        <f>SUMIF(C92:C111,"과",E92:E111)</f>
        <v>0</v>
      </c>
      <c r="R101" s="28">
        <f>COUNTIF(X92:X111,"과국")</f>
        <v>0</v>
      </c>
      <c r="S101" s="28" t="s">
        <v>5</v>
      </c>
      <c r="T101" s="28">
        <f>SUMIF(X92:X111,"과국",E92:E111)</f>
        <v>0</v>
      </c>
      <c r="U101" s="28">
        <f t="shared" si="19"/>
        <v>0</v>
      </c>
      <c r="V101" s="28" t="s">
        <v>5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17</v>
      </c>
      <c r="O102" s="28">
        <f>COUNTIF(C92:C111,"묘")</f>
        <v>0</v>
      </c>
      <c r="P102" s="28" t="s">
        <v>5</v>
      </c>
      <c r="Q102" s="28">
        <f>SUMIF(C92:C111,"묘",E92:E111)</f>
        <v>0</v>
      </c>
      <c r="R102" s="28">
        <f>COUNTIF(X92:X111,"묘국")</f>
        <v>0</v>
      </c>
      <c r="S102" s="28" t="s">
        <v>5</v>
      </c>
      <c r="T102" s="28">
        <f>SUMIF(X92:X111,"묘국",E92:E111)</f>
        <v>0</v>
      </c>
      <c r="U102" s="28">
        <f t="shared" si="19"/>
        <v>0</v>
      </c>
      <c r="V102" s="28" t="s">
        <v>5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18</v>
      </c>
      <c r="O103" s="28">
        <f>COUNTIF(C92:C111,"목")</f>
        <v>0</v>
      </c>
      <c r="P103" s="28" t="s">
        <v>5</v>
      </c>
      <c r="Q103" s="28">
        <f>SUMIF(C92:C111,"목",E92:E111)</f>
        <v>0</v>
      </c>
      <c r="R103" s="28">
        <f>COUNTIF(X92:X111,"목국")</f>
        <v>0</v>
      </c>
      <c r="S103" s="28" t="s">
        <v>5</v>
      </c>
      <c r="T103" s="28">
        <f>SUMIF(X92:X111,"목국",E92:E111)</f>
        <v>0</v>
      </c>
      <c r="U103" s="28">
        <f t="shared" si="19"/>
        <v>0</v>
      </c>
      <c r="V103" s="28" t="s">
        <v>5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19</v>
      </c>
      <c r="O104" s="28">
        <f>COUNTIF(C92:C111,"잡")</f>
        <v>0</v>
      </c>
      <c r="P104" s="28" t="s">
        <v>5</v>
      </c>
      <c r="Q104" s="28">
        <f>SUMIF(C92:C111,"잡",E92:E111)</f>
        <v>0</v>
      </c>
      <c r="R104" s="28">
        <f>COUNTIF(X92:X111,"잡국")</f>
        <v>0</v>
      </c>
      <c r="S104" s="28" t="s">
        <v>5</v>
      </c>
      <c r="T104" s="28">
        <f>SUMIF(X92:X111,"잡국",E92:E111)</f>
        <v>0</v>
      </c>
      <c r="U104" s="28">
        <f t="shared" si="19"/>
        <v>0</v>
      </c>
      <c r="V104" s="28" t="s">
        <v>5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23</v>
      </c>
      <c r="O105" s="28">
        <f>COUNTIF(C92:C111,"학")</f>
        <v>0</v>
      </c>
      <c r="P105" s="28" t="s">
        <v>5</v>
      </c>
      <c r="Q105" s="28">
        <f>SUMIF(C92:C111,"학",E92:E111)</f>
        <v>0</v>
      </c>
      <c r="R105" s="28">
        <f>COUNTIF(X92:X111,"학국")</f>
        <v>0</v>
      </c>
      <c r="S105" s="28" t="s">
        <v>5</v>
      </c>
      <c r="T105" s="28">
        <f>SUMIF(X92:X111,"학국",E92:E111)</f>
        <v>0</v>
      </c>
      <c r="U105" s="28">
        <f t="shared" si="19"/>
        <v>0</v>
      </c>
      <c r="V105" s="28" t="s">
        <v>5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20</v>
      </c>
      <c r="O106" s="28">
        <f>COUNTIF(C92:C111,"수")</f>
        <v>0</v>
      </c>
      <c r="P106" s="28" t="s">
        <v>5</v>
      </c>
      <c r="Q106" s="28">
        <f>SUMIF(C92:C111,"수",E92:E111)</f>
        <v>0</v>
      </c>
      <c r="R106" s="28">
        <f>COUNTIF(X92:X111,"수국")</f>
        <v>0</v>
      </c>
      <c r="S106" s="28" t="s">
        <v>5</v>
      </c>
      <c r="T106" s="28">
        <f>SUMIF(X92:X111,"수국",E92:E111)</f>
        <v>0</v>
      </c>
      <c r="U106" s="28">
        <f t="shared" si="19"/>
        <v>0</v>
      </c>
      <c r="V106" s="28" t="s">
        <v>5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21</v>
      </c>
      <c r="O107" s="28">
        <f>COUNTIF(C92:C111,"장")</f>
        <v>0</v>
      </c>
      <c r="P107" s="28" t="s">
        <v>5</v>
      </c>
      <c r="Q107" s="28">
        <f>SUMIF(C92:C111,"장",E92:E111)</f>
        <v>0</v>
      </c>
      <c r="R107" s="28">
        <f>COUNTIF(X92:X111,"장국")</f>
        <v>0</v>
      </c>
      <c r="S107" s="28" t="s">
        <v>5</v>
      </c>
      <c r="T107" s="28">
        <f>SUMIF(X92:X111,"장국",E92:E111)</f>
        <v>0</v>
      </c>
      <c r="U107" s="28">
        <f t="shared" si="19"/>
        <v>0</v>
      </c>
      <c r="V107" s="28" t="s">
        <v>5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24</v>
      </c>
      <c r="O111" s="28">
        <f>COUNTIF(C92:C111," ")</f>
        <v>0</v>
      </c>
      <c r="P111" s="28" t="s">
        <v>5</v>
      </c>
      <c r="Q111" s="28">
        <f>SUMIF(C92:C111," ",E92:E111)</f>
        <v>0</v>
      </c>
      <c r="R111" s="28"/>
      <c r="S111" s="28" t="s">
        <v>5</v>
      </c>
      <c r="T111" s="28"/>
      <c r="U111" s="28">
        <f>O111</f>
        <v>0</v>
      </c>
      <c r="V111" s="28" t="s">
        <v>5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39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3</v>
      </c>
      <c r="O112" s="28">
        <f>SUM(O92:O111)</f>
        <v>0</v>
      </c>
      <c r="P112" s="28" t="s">
        <v>5</v>
      </c>
      <c r="Q112" s="28">
        <f>SUM(Q92:Q111)</f>
        <v>0</v>
      </c>
      <c r="R112" s="28">
        <f>SUM(R92:R111)</f>
        <v>0</v>
      </c>
      <c r="S112" s="28" t="s">
        <v>5</v>
      </c>
      <c r="T112" s="28">
        <f>SUM(T92:T111)</f>
        <v>0</v>
      </c>
      <c r="U112" s="28">
        <f>SUM(U92:U111)</f>
        <v>0</v>
      </c>
      <c r="V112" s="28" t="s">
        <v>5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7</v>
      </c>
      <c r="O113" s="28">
        <f>COUNTIF(C113:C132,"전")</f>
        <v>0</v>
      </c>
      <c r="P113" s="28" t="s">
        <v>5</v>
      </c>
      <c r="Q113" s="28">
        <f>SUMIF(C113:C132,"전",E113:E132)</f>
        <v>0</v>
      </c>
      <c r="R113" s="28">
        <f>COUNTIF(X113:X132,"전국")</f>
        <v>0</v>
      </c>
      <c r="S113" s="28" t="s">
        <v>5</v>
      </c>
      <c r="T113" s="28">
        <f>SUMIF(X113:X132,"전국",E113:E132)</f>
        <v>0</v>
      </c>
      <c r="U113" s="28">
        <f t="shared" ref="U113:U128" si="24">O113-R113</f>
        <v>0</v>
      </c>
      <c r="V113" s="28" t="s">
        <v>5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8</v>
      </c>
      <c r="O114" s="28">
        <f>COUNTIF(C113:C132,"답")</f>
        <v>0</v>
      </c>
      <c r="P114" s="28" t="s">
        <v>5</v>
      </c>
      <c r="Q114" s="28">
        <f>SUMIF(C113:C132,"답",E113:E132)</f>
        <v>0</v>
      </c>
      <c r="R114" s="28">
        <f>COUNTIF(X113:X132,"답국")</f>
        <v>0</v>
      </c>
      <c r="S114" s="28" t="s">
        <v>5</v>
      </c>
      <c r="T114" s="28">
        <f>SUMIF(X113:X132,"답국",E113:E132)</f>
        <v>0</v>
      </c>
      <c r="U114" s="28">
        <f t="shared" si="24"/>
        <v>0</v>
      </c>
      <c r="V114" s="28" t="s">
        <v>5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9</v>
      </c>
      <c r="O115" s="28">
        <f>COUNTIF(C113:C132,"임")</f>
        <v>0</v>
      </c>
      <c r="P115" s="28" t="s">
        <v>5</v>
      </c>
      <c r="Q115" s="28">
        <f>SUMIF(C113:C132,"임",E113:E132)</f>
        <v>0</v>
      </c>
      <c r="R115" s="28">
        <f>COUNTIF(X113:X132,"임국")</f>
        <v>0</v>
      </c>
      <c r="S115" s="28" t="s">
        <v>5</v>
      </c>
      <c r="T115" s="28">
        <f>SUMIF(X113:X132,"임국",E113:E132)</f>
        <v>0</v>
      </c>
      <c r="U115" s="28">
        <f t="shared" si="24"/>
        <v>0</v>
      </c>
      <c r="V115" s="28" t="s">
        <v>5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10</v>
      </c>
      <c r="O116" s="28">
        <f>COUNTIF(C113:C132,"대")</f>
        <v>0</v>
      </c>
      <c r="P116" s="28" t="s">
        <v>5</v>
      </c>
      <c r="Q116" s="28">
        <f>SUMIF(C113:C132,"대",E113:E132)</f>
        <v>0</v>
      </c>
      <c r="R116" s="28">
        <f>COUNTIF(X113:X132,"대국")</f>
        <v>0</v>
      </c>
      <c r="S116" s="28" t="s">
        <v>5</v>
      </c>
      <c r="T116" s="28">
        <f>SUMIF(X113:X132,"대국",E113:E132)</f>
        <v>0</v>
      </c>
      <c r="U116" s="28">
        <f t="shared" si="24"/>
        <v>0</v>
      </c>
      <c r="V116" s="28" t="s">
        <v>5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11</v>
      </c>
      <c r="O117" s="28">
        <f>COUNTIF(C113:C132,"도")</f>
        <v>0</v>
      </c>
      <c r="P117" s="28" t="s">
        <v>5</v>
      </c>
      <c r="Q117" s="28">
        <f>SUMIF(C113:C132,"도",E113:E132)</f>
        <v>0</v>
      </c>
      <c r="R117" s="28">
        <f>COUNTIF(X113:X132,"도국")</f>
        <v>0</v>
      </c>
      <c r="S117" s="28" t="s">
        <v>5</v>
      </c>
      <c r="T117" s="28">
        <f>SUMIF(X113:X132,"도국",E113:E132)</f>
        <v>0</v>
      </c>
      <c r="U117" s="28">
        <f t="shared" si="24"/>
        <v>0</v>
      </c>
      <c r="V117" s="28" t="s">
        <v>5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12</v>
      </c>
      <c r="O118" s="28">
        <f>COUNTIF(C113:C132,"천")</f>
        <v>0</v>
      </c>
      <c r="P118" s="28" t="s">
        <v>5</v>
      </c>
      <c r="Q118" s="28">
        <f>SUMIF(C113:C132,"천",E113:E132)</f>
        <v>0</v>
      </c>
      <c r="R118" s="28">
        <f>COUNTIF(X113:X132,"천국")</f>
        <v>0</v>
      </c>
      <c r="S118" s="28" t="s">
        <v>5</v>
      </c>
      <c r="T118" s="28">
        <f>SUMIF(X113:X132,"천국",E113:E132)</f>
        <v>0</v>
      </c>
      <c r="U118" s="28">
        <f t="shared" si="24"/>
        <v>0</v>
      </c>
      <c r="V118" s="28" t="s">
        <v>5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13</v>
      </c>
      <c r="O119" s="28">
        <f>COUNTIF(C113:C132,"구")</f>
        <v>0</v>
      </c>
      <c r="P119" s="28" t="s">
        <v>5</v>
      </c>
      <c r="Q119" s="28">
        <f>SUMIF(C113:C132,"구",E113:E132)</f>
        <v>0</v>
      </c>
      <c r="R119" s="28">
        <f>COUNTIF(X113:X132,"구국")</f>
        <v>0</v>
      </c>
      <c r="S119" s="28" t="s">
        <v>5</v>
      </c>
      <c r="T119" s="28">
        <f>SUMIF(X113:X132,"구국",E113:E132)</f>
        <v>0</v>
      </c>
      <c r="U119" s="28">
        <f t="shared" si="24"/>
        <v>0</v>
      </c>
      <c r="V119" s="28" t="s">
        <v>5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14</v>
      </c>
      <c r="O120" s="28">
        <f>COUNTIF(C113:C132,"제")</f>
        <v>0</v>
      </c>
      <c r="P120" s="28" t="s">
        <v>5</v>
      </c>
      <c r="Q120" s="28">
        <f>SUMIF(C113:C132,"제",E113:E132)</f>
        <v>0</v>
      </c>
      <c r="R120" s="28">
        <f>COUNTIF(X113:X132,"제국")</f>
        <v>0</v>
      </c>
      <c r="S120" s="28" t="s">
        <v>5</v>
      </c>
      <c r="T120" s="28">
        <f>SUMIF(X113:X132,"제국",E113:E132)</f>
        <v>0</v>
      </c>
      <c r="U120" s="28">
        <f t="shared" si="24"/>
        <v>0</v>
      </c>
      <c r="V120" s="28" t="s">
        <v>5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15</v>
      </c>
      <c r="O121" s="28">
        <f>COUNTIF(C113:C132,"유")</f>
        <v>0</v>
      </c>
      <c r="P121" s="28" t="s">
        <v>5</v>
      </c>
      <c r="Q121" s="28">
        <f>SUMIF(C113:C132,"유",E113:E132)</f>
        <v>0</v>
      </c>
      <c r="R121" s="28">
        <f>COUNTIF(X113:X132,"유국")</f>
        <v>0</v>
      </c>
      <c r="S121" s="28" t="s">
        <v>5</v>
      </c>
      <c r="T121" s="28">
        <f>SUMIF(X113:X132,"유국",E113:E132)</f>
        <v>0</v>
      </c>
      <c r="U121" s="28">
        <f t="shared" si="24"/>
        <v>0</v>
      </c>
      <c r="V121" s="28" t="s">
        <v>5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16</v>
      </c>
      <c r="O122" s="28">
        <f>COUNTIF(C113:C132,"과")</f>
        <v>0</v>
      </c>
      <c r="P122" s="28" t="s">
        <v>5</v>
      </c>
      <c r="Q122" s="28">
        <f>SUMIF(C113:C132,"과",E113:E132)</f>
        <v>0</v>
      </c>
      <c r="R122" s="28">
        <f>COUNTIF(X113:X132,"과국")</f>
        <v>0</v>
      </c>
      <c r="S122" s="28" t="s">
        <v>5</v>
      </c>
      <c r="T122" s="28">
        <f>SUMIF(X113:X132,"과국",E113:E132)</f>
        <v>0</v>
      </c>
      <c r="U122" s="28">
        <f t="shared" si="24"/>
        <v>0</v>
      </c>
      <c r="V122" s="28" t="s">
        <v>5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17</v>
      </c>
      <c r="O123" s="28">
        <f>COUNTIF(C113:C132,"묘")</f>
        <v>0</v>
      </c>
      <c r="P123" s="28" t="s">
        <v>5</v>
      </c>
      <c r="Q123" s="28">
        <f>SUMIF(C113:C132,"묘",E113:E132)</f>
        <v>0</v>
      </c>
      <c r="R123" s="28">
        <f>COUNTIF(X113:X132,"묘국")</f>
        <v>0</v>
      </c>
      <c r="S123" s="28" t="s">
        <v>5</v>
      </c>
      <c r="T123" s="28">
        <f>SUMIF(X113:X132,"묘국",E113:E132)</f>
        <v>0</v>
      </c>
      <c r="U123" s="28">
        <f t="shared" si="24"/>
        <v>0</v>
      </c>
      <c r="V123" s="28" t="s">
        <v>5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18</v>
      </c>
      <c r="O124" s="28">
        <f>COUNTIF(C113:C132,"목")</f>
        <v>0</v>
      </c>
      <c r="P124" s="28" t="s">
        <v>5</v>
      </c>
      <c r="Q124" s="28">
        <f>SUMIF(C113:C132,"목",E113:E132)</f>
        <v>0</v>
      </c>
      <c r="R124" s="28">
        <f>COUNTIF(X113:X132,"목국")</f>
        <v>0</v>
      </c>
      <c r="S124" s="28" t="s">
        <v>5</v>
      </c>
      <c r="T124" s="28">
        <f>SUMIF(X113:X132,"목국",E113:E132)</f>
        <v>0</v>
      </c>
      <c r="U124" s="28">
        <f t="shared" si="24"/>
        <v>0</v>
      </c>
      <c r="V124" s="28" t="s">
        <v>5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19</v>
      </c>
      <c r="O125" s="28">
        <f>COUNTIF(C113:C132,"잡")</f>
        <v>0</v>
      </c>
      <c r="P125" s="28" t="s">
        <v>5</v>
      </c>
      <c r="Q125" s="28">
        <f>SUMIF(C113:C132,"잡",E113:E132)</f>
        <v>0</v>
      </c>
      <c r="R125" s="28">
        <f>COUNTIF(X113:X132,"잡국")</f>
        <v>0</v>
      </c>
      <c r="S125" s="28" t="s">
        <v>5</v>
      </c>
      <c r="T125" s="28">
        <f>SUMIF(X113:X132,"잡국",E113:E132)</f>
        <v>0</v>
      </c>
      <c r="U125" s="28">
        <f t="shared" si="24"/>
        <v>0</v>
      </c>
      <c r="V125" s="28" t="s">
        <v>5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23</v>
      </c>
      <c r="O126" s="28">
        <f>COUNTIF(C113:C132,"학")</f>
        <v>0</v>
      </c>
      <c r="P126" s="28" t="s">
        <v>5</v>
      </c>
      <c r="Q126" s="28">
        <f>SUMIF(C113:C132,"학",E113:E132)</f>
        <v>0</v>
      </c>
      <c r="R126" s="28">
        <f>COUNTIF(X113:X132,"학국")</f>
        <v>0</v>
      </c>
      <c r="S126" s="28" t="s">
        <v>5</v>
      </c>
      <c r="T126" s="28">
        <f>SUMIF(X113:X132,"학국",E113:E132)</f>
        <v>0</v>
      </c>
      <c r="U126" s="28">
        <f t="shared" si="24"/>
        <v>0</v>
      </c>
      <c r="V126" s="28" t="s">
        <v>5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20</v>
      </c>
      <c r="O127" s="28">
        <f>COUNTIF(C113:C132,"수")</f>
        <v>0</v>
      </c>
      <c r="P127" s="28" t="s">
        <v>5</v>
      </c>
      <c r="Q127" s="28">
        <f>SUMIF(C113:C132,"수",E113:E132)</f>
        <v>0</v>
      </c>
      <c r="R127" s="28">
        <f>COUNTIF(X113:X132,"수국")</f>
        <v>0</v>
      </c>
      <c r="S127" s="28" t="s">
        <v>5</v>
      </c>
      <c r="T127" s="28">
        <f>SUMIF(X113:X132,"수국",E113:E132)</f>
        <v>0</v>
      </c>
      <c r="U127" s="28">
        <f t="shared" si="24"/>
        <v>0</v>
      </c>
      <c r="V127" s="28" t="s">
        <v>5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21</v>
      </c>
      <c r="O128" s="28">
        <f>COUNTIF(C113:C132,"장")</f>
        <v>0</v>
      </c>
      <c r="P128" s="28" t="s">
        <v>5</v>
      </c>
      <c r="Q128" s="28">
        <f>SUMIF(C113:C132,"장",E113:E132)</f>
        <v>0</v>
      </c>
      <c r="R128" s="28">
        <f>COUNTIF(X113:X132,"장국")</f>
        <v>0</v>
      </c>
      <c r="S128" s="28" t="s">
        <v>5</v>
      </c>
      <c r="T128" s="28">
        <f>SUMIF(X113:X132,"장국",E113:E132)</f>
        <v>0</v>
      </c>
      <c r="U128" s="28">
        <f t="shared" si="24"/>
        <v>0</v>
      </c>
      <c r="V128" s="28" t="s">
        <v>5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24</v>
      </c>
      <c r="O132" s="28">
        <f>COUNTIF(C113:C132," ")</f>
        <v>0</v>
      </c>
      <c r="P132" s="28" t="s">
        <v>5</v>
      </c>
      <c r="Q132" s="28">
        <f>SUMIF(C113:C132," ",E113:E132)</f>
        <v>0</v>
      </c>
      <c r="R132" s="28"/>
      <c r="S132" s="28" t="s">
        <v>5</v>
      </c>
      <c r="T132" s="28"/>
      <c r="U132" s="28">
        <f>O132</f>
        <v>0</v>
      </c>
      <c r="V132" s="28" t="s">
        <v>5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39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3</v>
      </c>
      <c r="O133" s="28">
        <f>SUM(O113:O132)</f>
        <v>0</v>
      </c>
      <c r="P133" s="28" t="s">
        <v>5</v>
      </c>
      <c r="Q133" s="28">
        <f>SUM(Q113:Q132)</f>
        <v>0</v>
      </c>
      <c r="R133" s="28">
        <f>SUM(R113:R132)</f>
        <v>0</v>
      </c>
      <c r="S133" s="28" t="s">
        <v>5</v>
      </c>
      <c r="T133" s="28">
        <f>SUM(T113:T132)</f>
        <v>0</v>
      </c>
      <c r="U133" s="28">
        <f>SUM(U113:U132)</f>
        <v>0</v>
      </c>
      <c r="V133" s="28" t="s">
        <v>5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7</v>
      </c>
      <c r="O134" s="28">
        <f>COUNTIF(C134:C153,"전")</f>
        <v>0</v>
      </c>
      <c r="P134" s="28" t="s">
        <v>5</v>
      </c>
      <c r="Q134" s="28">
        <f>SUMIF(C134:C153,"전",E134:E153)</f>
        <v>0</v>
      </c>
      <c r="R134" s="28">
        <f>COUNTIF(X134:X153,"전국")</f>
        <v>0</v>
      </c>
      <c r="S134" s="28" t="s">
        <v>5</v>
      </c>
      <c r="T134" s="28">
        <f>SUMIF(X134:X153,"전국",E134:E153)</f>
        <v>0</v>
      </c>
      <c r="U134" s="28">
        <f t="shared" ref="U134:U149" si="29">O134-R134</f>
        <v>0</v>
      </c>
      <c r="V134" s="28" t="s">
        <v>5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8</v>
      </c>
      <c r="O135" s="28">
        <f>COUNTIF(C134:C153,"답")</f>
        <v>0</v>
      </c>
      <c r="P135" s="28" t="s">
        <v>5</v>
      </c>
      <c r="Q135" s="28">
        <f>SUMIF(C134:C153,"답",E134:E153)</f>
        <v>0</v>
      </c>
      <c r="R135" s="28">
        <f>COUNTIF(X134:X153,"답국")</f>
        <v>0</v>
      </c>
      <c r="S135" s="28" t="s">
        <v>5</v>
      </c>
      <c r="T135" s="28">
        <f>SUMIF(X134:X153,"답국",E134:E153)</f>
        <v>0</v>
      </c>
      <c r="U135" s="28">
        <f t="shared" si="29"/>
        <v>0</v>
      </c>
      <c r="V135" s="28" t="s">
        <v>5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9</v>
      </c>
      <c r="O136" s="28">
        <f>COUNTIF(C134:C153,"임")</f>
        <v>0</v>
      </c>
      <c r="P136" s="28" t="s">
        <v>5</v>
      </c>
      <c r="Q136" s="28">
        <f>SUMIF(C134:C153,"임",E134:E153)</f>
        <v>0</v>
      </c>
      <c r="R136" s="28">
        <f>COUNTIF(X134:X153,"임국")</f>
        <v>0</v>
      </c>
      <c r="S136" s="28" t="s">
        <v>5</v>
      </c>
      <c r="T136" s="28">
        <f>SUMIF(X134:X153,"임국",E134:E153)</f>
        <v>0</v>
      </c>
      <c r="U136" s="28">
        <f t="shared" si="29"/>
        <v>0</v>
      </c>
      <c r="V136" s="28" t="s">
        <v>5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10</v>
      </c>
      <c r="O137" s="28">
        <f>COUNTIF(C134:C153,"대")</f>
        <v>0</v>
      </c>
      <c r="P137" s="28" t="s">
        <v>5</v>
      </c>
      <c r="Q137" s="28">
        <f>SUMIF(C134:C153,"대",E134:E153)</f>
        <v>0</v>
      </c>
      <c r="R137" s="28">
        <f>COUNTIF(X134:X153,"대국")</f>
        <v>0</v>
      </c>
      <c r="S137" s="28" t="s">
        <v>5</v>
      </c>
      <c r="T137" s="28">
        <f>SUMIF(X134:X153,"대국",E134:E153)</f>
        <v>0</v>
      </c>
      <c r="U137" s="28">
        <f t="shared" si="29"/>
        <v>0</v>
      </c>
      <c r="V137" s="28" t="s">
        <v>5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11</v>
      </c>
      <c r="O138" s="28">
        <f>COUNTIF(C134:C153,"도")</f>
        <v>0</v>
      </c>
      <c r="P138" s="28" t="s">
        <v>5</v>
      </c>
      <c r="Q138" s="28">
        <f>SUMIF(C134:C153,"도",E134:E153)</f>
        <v>0</v>
      </c>
      <c r="R138" s="28">
        <f>COUNTIF(X134:X153,"도국")</f>
        <v>0</v>
      </c>
      <c r="S138" s="28" t="s">
        <v>5</v>
      </c>
      <c r="T138" s="28">
        <f>SUMIF(X134:X153,"도국",E134:E153)</f>
        <v>0</v>
      </c>
      <c r="U138" s="28">
        <f t="shared" si="29"/>
        <v>0</v>
      </c>
      <c r="V138" s="28" t="s">
        <v>5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12</v>
      </c>
      <c r="O139" s="28">
        <f>COUNTIF(C134:C153,"천")</f>
        <v>0</v>
      </c>
      <c r="P139" s="28" t="s">
        <v>5</v>
      </c>
      <c r="Q139" s="28">
        <f>SUMIF(C134:C153,"천",E134:E153)</f>
        <v>0</v>
      </c>
      <c r="R139" s="28">
        <f>COUNTIF(X134:X153,"천국")</f>
        <v>0</v>
      </c>
      <c r="S139" s="28" t="s">
        <v>5</v>
      </c>
      <c r="T139" s="28">
        <f>SUMIF(X134:X153,"천국",E134:E153)</f>
        <v>0</v>
      </c>
      <c r="U139" s="28">
        <f t="shared" si="29"/>
        <v>0</v>
      </c>
      <c r="V139" s="28" t="s">
        <v>5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13</v>
      </c>
      <c r="O140" s="28">
        <f>COUNTIF(C134:C153,"구")</f>
        <v>0</v>
      </c>
      <c r="P140" s="28" t="s">
        <v>5</v>
      </c>
      <c r="Q140" s="28">
        <f>SUMIF(C134:C153,"구",E134:E153)</f>
        <v>0</v>
      </c>
      <c r="R140" s="28">
        <f>COUNTIF(X134:X153,"구국")</f>
        <v>0</v>
      </c>
      <c r="S140" s="28" t="s">
        <v>5</v>
      </c>
      <c r="T140" s="28">
        <f>SUMIF(X134:X153,"구국",E134:E153)</f>
        <v>0</v>
      </c>
      <c r="U140" s="28">
        <f t="shared" si="29"/>
        <v>0</v>
      </c>
      <c r="V140" s="28" t="s">
        <v>5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14</v>
      </c>
      <c r="O141" s="28">
        <f>COUNTIF(C134:C153,"제")</f>
        <v>0</v>
      </c>
      <c r="P141" s="28" t="s">
        <v>5</v>
      </c>
      <c r="Q141" s="28">
        <f>SUMIF(C134:C153,"제",E134:E153)</f>
        <v>0</v>
      </c>
      <c r="R141" s="28">
        <f>COUNTIF(X134:X153,"제국")</f>
        <v>0</v>
      </c>
      <c r="S141" s="28" t="s">
        <v>5</v>
      </c>
      <c r="T141" s="28">
        <f>SUMIF(X134:X153,"제국",E134:E153)</f>
        <v>0</v>
      </c>
      <c r="U141" s="28">
        <f t="shared" si="29"/>
        <v>0</v>
      </c>
      <c r="V141" s="28" t="s">
        <v>5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15</v>
      </c>
      <c r="O142" s="28">
        <f>COUNTIF(C134:C153,"유")</f>
        <v>0</v>
      </c>
      <c r="P142" s="28" t="s">
        <v>5</v>
      </c>
      <c r="Q142" s="28">
        <f>SUMIF(C134:C153,"유",E134:E153)</f>
        <v>0</v>
      </c>
      <c r="R142" s="28">
        <f>COUNTIF(X134:X153,"유국")</f>
        <v>0</v>
      </c>
      <c r="S142" s="28" t="s">
        <v>5</v>
      </c>
      <c r="T142" s="28">
        <f>SUMIF(X134:X153,"유국",E134:E153)</f>
        <v>0</v>
      </c>
      <c r="U142" s="28">
        <f t="shared" si="29"/>
        <v>0</v>
      </c>
      <c r="V142" s="28" t="s">
        <v>5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16</v>
      </c>
      <c r="O143" s="28">
        <f>COUNTIF(C134:C153,"과")</f>
        <v>0</v>
      </c>
      <c r="P143" s="28" t="s">
        <v>5</v>
      </c>
      <c r="Q143" s="28">
        <f>SUMIF(C134:C153,"과",E134:E153)</f>
        <v>0</v>
      </c>
      <c r="R143" s="28">
        <f>COUNTIF(X134:X153,"과국")</f>
        <v>0</v>
      </c>
      <c r="S143" s="28" t="s">
        <v>5</v>
      </c>
      <c r="T143" s="28">
        <f>SUMIF(X134:X153,"과국",E134:E153)</f>
        <v>0</v>
      </c>
      <c r="U143" s="28">
        <f t="shared" si="29"/>
        <v>0</v>
      </c>
      <c r="V143" s="28" t="s">
        <v>5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17</v>
      </c>
      <c r="O144" s="28">
        <f>COUNTIF(C134:C153,"묘")</f>
        <v>0</v>
      </c>
      <c r="P144" s="28" t="s">
        <v>5</v>
      </c>
      <c r="Q144" s="28">
        <f>SUMIF(C134:C153,"묘",E134:E153)</f>
        <v>0</v>
      </c>
      <c r="R144" s="28">
        <f>COUNTIF(X134:X153,"묘국")</f>
        <v>0</v>
      </c>
      <c r="S144" s="28" t="s">
        <v>5</v>
      </c>
      <c r="T144" s="28">
        <f>SUMIF(X134:X153,"묘국",E134:E153)</f>
        <v>0</v>
      </c>
      <c r="U144" s="28">
        <f t="shared" si="29"/>
        <v>0</v>
      </c>
      <c r="V144" s="28" t="s">
        <v>5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18</v>
      </c>
      <c r="O145" s="28">
        <f>COUNTIF(C134:C153,"목")</f>
        <v>0</v>
      </c>
      <c r="P145" s="28" t="s">
        <v>5</v>
      </c>
      <c r="Q145" s="28">
        <f>SUMIF(C134:C153,"목",E134:E153)</f>
        <v>0</v>
      </c>
      <c r="R145" s="28">
        <f>COUNTIF(X134:X153,"목국")</f>
        <v>0</v>
      </c>
      <c r="S145" s="28" t="s">
        <v>5</v>
      </c>
      <c r="T145" s="28">
        <f>SUMIF(X134:X153,"목국",E134:E153)</f>
        <v>0</v>
      </c>
      <c r="U145" s="28">
        <f t="shared" si="29"/>
        <v>0</v>
      </c>
      <c r="V145" s="28" t="s">
        <v>5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19</v>
      </c>
      <c r="O146" s="28">
        <f>COUNTIF(C134:C153,"잡")</f>
        <v>0</v>
      </c>
      <c r="P146" s="28" t="s">
        <v>5</v>
      </c>
      <c r="Q146" s="28">
        <f>SUMIF(C134:C153,"잡",E134:E153)</f>
        <v>0</v>
      </c>
      <c r="R146" s="28">
        <f>COUNTIF(X134:X153,"잡국")</f>
        <v>0</v>
      </c>
      <c r="S146" s="28" t="s">
        <v>5</v>
      </c>
      <c r="T146" s="28">
        <f>SUMIF(X134:X153,"잡국",E134:E153)</f>
        <v>0</v>
      </c>
      <c r="U146" s="28">
        <f t="shared" si="29"/>
        <v>0</v>
      </c>
      <c r="V146" s="28" t="s">
        <v>5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23</v>
      </c>
      <c r="O147" s="28">
        <f>COUNTIF(C134:C153,"학")</f>
        <v>0</v>
      </c>
      <c r="P147" s="28" t="s">
        <v>5</v>
      </c>
      <c r="Q147" s="28">
        <f>SUMIF(C134:C153,"학",E134:E153)</f>
        <v>0</v>
      </c>
      <c r="R147" s="28">
        <f>COUNTIF(X134:X153,"학국")</f>
        <v>0</v>
      </c>
      <c r="S147" s="28" t="s">
        <v>5</v>
      </c>
      <c r="T147" s="28">
        <f>SUMIF(X134:X153,"학국",E134:E153)</f>
        <v>0</v>
      </c>
      <c r="U147" s="28">
        <f t="shared" si="29"/>
        <v>0</v>
      </c>
      <c r="V147" s="28" t="s">
        <v>5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20</v>
      </c>
      <c r="O148" s="28">
        <f>COUNTIF(C134:C153,"수")</f>
        <v>0</v>
      </c>
      <c r="P148" s="28" t="s">
        <v>5</v>
      </c>
      <c r="Q148" s="28">
        <f>SUMIF(C134:C153,"수",E134:E153)</f>
        <v>0</v>
      </c>
      <c r="R148" s="28">
        <f>COUNTIF(X134:X153,"수국")</f>
        <v>0</v>
      </c>
      <c r="S148" s="28" t="s">
        <v>5</v>
      </c>
      <c r="T148" s="28">
        <f>SUMIF(X134:X153,"수국",E134:E153)</f>
        <v>0</v>
      </c>
      <c r="U148" s="28">
        <f t="shared" si="29"/>
        <v>0</v>
      </c>
      <c r="V148" s="28" t="s">
        <v>5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21</v>
      </c>
      <c r="O149" s="28">
        <f>COUNTIF(C134:C153,"장")</f>
        <v>0</v>
      </c>
      <c r="P149" s="28" t="s">
        <v>5</v>
      </c>
      <c r="Q149" s="28">
        <f>SUMIF(C134:C153,"장",E134:E153)</f>
        <v>0</v>
      </c>
      <c r="R149" s="28">
        <f>COUNTIF(X134:X153,"장국")</f>
        <v>0</v>
      </c>
      <c r="S149" s="28" t="s">
        <v>5</v>
      </c>
      <c r="T149" s="28">
        <f>SUMIF(X134:X153,"장국",E134:E153)</f>
        <v>0</v>
      </c>
      <c r="U149" s="28">
        <f t="shared" si="29"/>
        <v>0</v>
      </c>
      <c r="V149" s="28" t="s">
        <v>5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24</v>
      </c>
      <c r="O153" s="28">
        <f>COUNTIF(C134:C153," ")</f>
        <v>0</v>
      </c>
      <c r="P153" s="28" t="s">
        <v>5</v>
      </c>
      <c r="Q153" s="28">
        <f>SUMIF(C134:C153," ",E134:E153)</f>
        <v>0</v>
      </c>
      <c r="R153" s="28"/>
      <c r="S153" s="28" t="s">
        <v>5</v>
      </c>
      <c r="T153" s="28"/>
      <c r="U153" s="28">
        <f>O153</f>
        <v>0</v>
      </c>
      <c r="V153" s="28" t="s">
        <v>5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39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3</v>
      </c>
      <c r="O154" s="28">
        <f>SUM(O134:O153)</f>
        <v>0</v>
      </c>
      <c r="P154" s="28" t="s">
        <v>5</v>
      </c>
      <c r="Q154" s="28">
        <f>SUM(Q134:Q153)</f>
        <v>0</v>
      </c>
      <c r="R154" s="28">
        <f>SUM(R134:R153)</f>
        <v>0</v>
      </c>
      <c r="S154" s="28" t="s">
        <v>5</v>
      </c>
      <c r="T154" s="28">
        <f>SUM(T134:T153)</f>
        <v>0</v>
      </c>
      <c r="U154" s="28">
        <f>SUM(U134:U153)</f>
        <v>0</v>
      </c>
      <c r="V154" s="28" t="s">
        <v>5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7</v>
      </c>
      <c r="O155" s="28">
        <f>COUNTIF(C155:C174,"전")</f>
        <v>0</v>
      </c>
      <c r="P155" s="28" t="s">
        <v>5</v>
      </c>
      <c r="Q155" s="28">
        <f>SUMIF(C155:C174,"전",E155:E174)</f>
        <v>0</v>
      </c>
      <c r="R155" s="28">
        <f>COUNTIF(X155:X174,"전국")</f>
        <v>0</v>
      </c>
      <c r="S155" s="28" t="s">
        <v>5</v>
      </c>
      <c r="T155" s="28">
        <f>SUMIF(X155:X174,"전국",E155:E174)</f>
        <v>0</v>
      </c>
      <c r="U155" s="28">
        <f t="shared" ref="U155:U170" si="35">O155-R155</f>
        <v>0</v>
      </c>
      <c r="V155" s="28" t="s">
        <v>5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8</v>
      </c>
      <c r="O156" s="28">
        <f>COUNTIF(C155:C174,"답")</f>
        <v>0</v>
      </c>
      <c r="P156" s="28" t="s">
        <v>5</v>
      </c>
      <c r="Q156" s="28">
        <f>SUMIF(C155:C174,"답",E155:E174)</f>
        <v>0</v>
      </c>
      <c r="R156" s="28">
        <f>COUNTIF(X155:X174,"답국")</f>
        <v>0</v>
      </c>
      <c r="S156" s="28" t="s">
        <v>5</v>
      </c>
      <c r="T156" s="28">
        <f>SUMIF(X155:X174,"답국",E155:E174)</f>
        <v>0</v>
      </c>
      <c r="U156" s="28">
        <f t="shared" si="35"/>
        <v>0</v>
      </c>
      <c r="V156" s="28" t="s">
        <v>5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9</v>
      </c>
      <c r="O157" s="28">
        <f>COUNTIF(C155:C174,"임")</f>
        <v>0</v>
      </c>
      <c r="P157" s="28" t="s">
        <v>5</v>
      </c>
      <c r="Q157" s="28">
        <f>SUMIF(C155:C174,"임",E155:E174)</f>
        <v>0</v>
      </c>
      <c r="R157" s="28">
        <f>COUNTIF(X155:X174,"임국")</f>
        <v>0</v>
      </c>
      <c r="S157" s="28" t="s">
        <v>5</v>
      </c>
      <c r="T157" s="28">
        <f>SUMIF(X155:X174,"임국",E155:E174)</f>
        <v>0</v>
      </c>
      <c r="U157" s="28">
        <f t="shared" si="35"/>
        <v>0</v>
      </c>
      <c r="V157" s="28" t="s">
        <v>5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10</v>
      </c>
      <c r="O158" s="28">
        <f>COUNTIF(C155:C174,"대")</f>
        <v>0</v>
      </c>
      <c r="P158" s="28" t="s">
        <v>5</v>
      </c>
      <c r="Q158" s="28">
        <f>SUMIF(C155:C174,"대",E155:E174)</f>
        <v>0</v>
      </c>
      <c r="R158" s="28">
        <f>COUNTIF(X155:X174,"대국")</f>
        <v>0</v>
      </c>
      <c r="S158" s="28" t="s">
        <v>5</v>
      </c>
      <c r="T158" s="28">
        <f>SUMIF(X155:X174,"대국",E155:E174)</f>
        <v>0</v>
      </c>
      <c r="U158" s="28">
        <f t="shared" si="35"/>
        <v>0</v>
      </c>
      <c r="V158" s="28" t="s">
        <v>5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11</v>
      </c>
      <c r="O159" s="28">
        <f>COUNTIF(C155:C174,"도")</f>
        <v>0</v>
      </c>
      <c r="P159" s="28" t="s">
        <v>5</v>
      </c>
      <c r="Q159" s="28">
        <f>SUMIF(C155:C174,"도",E155:E174)</f>
        <v>0</v>
      </c>
      <c r="R159" s="28">
        <f>COUNTIF(X155:X174,"도국")</f>
        <v>0</v>
      </c>
      <c r="S159" s="28" t="s">
        <v>5</v>
      </c>
      <c r="T159" s="28">
        <f>SUMIF(X155:X174,"도국",E155:E174)</f>
        <v>0</v>
      </c>
      <c r="U159" s="28">
        <f t="shared" si="35"/>
        <v>0</v>
      </c>
      <c r="V159" s="28" t="s">
        <v>5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12</v>
      </c>
      <c r="O160" s="28">
        <f>COUNTIF(C155:C174,"천")</f>
        <v>0</v>
      </c>
      <c r="P160" s="28" t="s">
        <v>5</v>
      </c>
      <c r="Q160" s="28">
        <f>SUMIF(C155:C174,"천",E155:E174)</f>
        <v>0</v>
      </c>
      <c r="R160" s="28">
        <f>COUNTIF(X155:X174,"천국")</f>
        <v>0</v>
      </c>
      <c r="S160" s="28" t="s">
        <v>5</v>
      </c>
      <c r="T160" s="28">
        <f>SUMIF(X155:X174,"천국",E155:E174)</f>
        <v>0</v>
      </c>
      <c r="U160" s="28">
        <f t="shared" si="35"/>
        <v>0</v>
      </c>
      <c r="V160" s="28" t="s">
        <v>5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13</v>
      </c>
      <c r="O161" s="28">
        <f>COUNTIF(C155:C174,"구")</f>
        <v>0</v>
      </c>
      <c r="P161" s="28" t="s">
        <v>5</v>
      </c>
      <c r="Q161" s="28">
        <f>SUMIF(C155:C174,"구",E155:E174)</f>
        <v>0</v>
      </c>
      <c r="R161" s="28">
        <f>COUNTIF(X155:X174,"구국")</f>
        <v>0</v>
      </c>
      <c r="S161" s="28" t="s">
        <v>5</v>
      </c>
      <c r="T161" s="28">
        <f>SUMIF(X155:X174,"구국",E155:E174)</f>
        <v>0</v>
      </c>
      <c r="U161" s="28">
        <f t="shared" si="35"/>
        <v>0</v>
      </c>
      <c r="V161" s="28" t="s">
        <v>5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14</v>
      </c>
      <c r="O162" s="28">
        <f>COUNTIF(C155:C174,"제")</f>
        <v>0</v>
      </c>
      <c r="P162" s="28" t="s">
        <v>5</v>
      </c>
      <c r="Q162" s="28">
        <f>SUMIF(C155:C174,"제",E155:E174)</f>
        <v>0</v>
      </c>
      <c r="R162" s="28">
        <f>COUNTIF(X155:X174,"제국")</f>
        <v>0</v>
      </c>
      <c r="S162" s="28" t="s">
        <v>5</v>
      </c>
      <c r="T162" s="28">
        <f>SUMIF(X155:X174,"제국",E155:E174)</f>
        <v>0</v>
      </c>
      <c r="U162" s="28">
        <f t="shared" si="35"/>
        <v>0</v>
      </c>
      <c r="V162" s="28" t="s">
        <v>5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15</v>
      </c>
      <c r="O163" s="28">
        <f>COUNTIF(C155:C174,"유")</f>
        <v>0</v>
      </c>
      <c r="P163" s="28" t="s">
        <v>5</v>
      </c>
      <c r="Q163" s="28">
        <f>SUMIF(C155:C174,"유",E155:E174)</f>
        <v>0</v>
      </c>
      <c r="R163" s="28">
        <f>COUNTIF(X155:X174,"유국")</f>
        <v>0</v>
      </c>
      <c r="S163" s="28" t="s">
        <v>5</v>
      </c>
      <c r="T163" s="28">
        <f>SUMIF(X155:X174,"유국",E155:E174)</f>
        <v>0</v>
      </c>
      <c r="U163" s="28">
        <f t="shared" si="35"/>
        <v>0</v>
      </c>
      <c r="V163" s="28" t="s">
        <v>5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16</v>
      </c>
      <c r="O164" s="28">
        <f>COUNTIF(C155:C174,"과")</f>
        <v>0</v>
      </c>
      <c r="P164" s="28" t="s">
        <v>5</v>
      </c>
      <c r="Q164" s="28">
        <f>SUMIF(C155:C174,"과",E155:E174)</f>
        <v>0</v>
      </c>
      <c r="R164" s="28">
        <f>COUNTIF(X155:X174,"과국")</f>
        <v>0</v>
      </c>
      <c r="S164" s="28" t="s">
        <v>5</v>
      </c>
      <c r="T164" s="28">
        <f>SUMIF(X155:X174,"과국",E155:E174)</f>
        <v>0</v>
      </c>
      <c r="U164" s="28">
        <f t="shared" si="35"/>
        <v>0</v>
      </c>
      <c r="V164" s="28" t="s">
        <v>5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17</v>
      </c>
      <c r="O165" s="28">
        <f>COUNTIF(C155:C174,"묘")</f>
        <v>0</v>
      </c>
      <c r="P165" s="28" t="s">
        <v>5</v>
      </c>
      <c r="Q165" s="28">
        <f>SUMIF(C155:C174,"묘",E155:E174)</f>
        <v>0</v>
      </c>
      <c r="R165" s="28">
        <f>COUNTIF(X155:X174,"묘국")</f>
        <v>0</v>
      </c>
      <c r="S165" s="28" t="s">
        <v>5</v>
      </c>
      <c r="T165" s="28">
        <f>SUMIF(X155:X174,"묘국",E155:E174)</f>
        <v>0</v>
      </c>
      <c r="U165" s="28">
        <f t="shared" si="35"/>
        <v>0</v>
      </c>
      <c r="V165" s="28" t="s">
        <v>5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18</v>
      </c>
      <c r="O166" s="28">
        <f>COUNTIF(C155:C174,"목")</f>
        <v>0</v>
      </c>
      <c r="P166" s="28" t="s">
        <v>5</v>
      </c>
      <c r="Q166" s="28">
        <f>SUMIF(C155:C174,"목",E155:E174)</f>
        <v>0</v>
      </c>
      <c r="R166" s="28">
        <f>COUNTIF(X155:X174,"목국")</f>
        <v>0</v>
      </c>
      <c r="S166" s="28" t="s">
        <v>5</v>
      </c>
      <c r="T166" s="28">
        <f>SUMIF(X155:X174,"목국",E155:E174)</f>
        <v>0</v>
      </c>
      <c r="U166" s="28">
        <f t="shared" si="35"/>
        <v>0</v>
      </c>
      <c r="V166" s="28" t="s">
        <v>5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19</v>
      </c>
      <c r="O167" s="28">
        <f>COUNTIF(C155:C174,"잡")</f>
        <v>0</v>
      </c>
      <c r="P167" s="28" t="s">
        <v>5</v>
      </c>
      <c r="Q167" s="28">
        <f>SUMIF(C155:C174,"잡",E155:E174)</f>
        <v>0</v>
      </c>
      <c r="R167" s="28">
        <f>COUNTIF(X155:X174,"잡국")</f>
        <v>0</v>
      </c>
      <c r="S167" s="28" t="s">
        <v>5</v>
      </c>
      <c r="T167" s="28">
        <f>SUMIF(X155:X174,"잡국",E155:E174)</f>
        <v>0</v>
      </c>
      <c r="U167" s="28">
        <f t="shared" si="35"/>
        <v>0</v>
      </c>
      <c r="V167" s="28" t="s">
        <v>5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23</v>
      </c>
      <c r="O168" s="28">
        <f>COUNTIF(C155:C174,"학")</f>
        <v>0</v>
      </c>
      <c r="P168" s="28" t="s">
        <v>5</v>
      </c>
      <c r="Q168" s="28">
        <f>SUMIF(C155:C174,"학",E155:E174)</f>
        <v>0</v>
      </c>
      <c r="R168" s="28">
        <f>COUNTIF(X155:X174,"학국")</f>
        <v>0</v>
      </c>
      <c r="S168" s="28" t="s">
        <v>5</v>
      </c>
      <c r="T168" s="28">
        <f>SUMIF(X155:X174,"학국",E155:E174)</f>
        <v>0</v>
      </c>
      <c r="U168" s="28">
        <f t="shared" si="35"/>
        <v>0</v>
      </c>
      <c r="V168" s="28" t="s">
        <v>5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20</v>
      </c>
      <c r="O169" s="28">
        <f>COUNTIF(C155:C174,"수")</f>
        <v>0</v>
      </c>
      <c r="P169" s="28" t="s">
        <v>5</v>
      </c>
      <c r="Q169" s="28">
        <f>SUMIF(C155:C174,"수",E155:E174)</f>
        <v>0</v>
      </c>
      <c r="R169" s="28">
        <f>COUNTIF(X155:X174,"수국")</f>
        <v>0</v>
      </c>
      <c r="S169" s="28" t="s">
        <v>5</v>
      </c>
      <c r="T169" s="28">
        <f>SUMIF(X155:X174,"수국",E155:E174)</f>
        <v>0</v>
      </c>
      <c r="U169" s="28">
        <f t="shared" si="35"/>
        <v>0</v>
      </c>
      <c r="V169" s="28" t="s">
        <v>5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21</v>
      </c>
      <c r="O170" s="28">
        <f>COUNTIF(C155:C174,"장")</f>
        <v>0</v>
      </c>
      <c r="P170" s="28" t="s">
        <v>5</v>
      </c>
      <c r="Q170" s="28">
        <f>SUMIF(C155:C174,"장",E155:E174)</f>
        <v>0</v>
      </c>
      <c r="R170" s="28">
        <f>COUNTIF(X155:X174,"장국")</f>
        <v>0</v>
      </c>
      <c r="S170" s="28" t="s">
        <v>5</v>
      </c>
      <c r="T170" s="28">
        <f>SUMIF(X155:X174,"장국",E155:E174)</f>
        <v>0</v>
      </c>
      <c r="U170" s="28">
        <f t="shared" si="35"/>
        <v>0</v>
      </c>
      <c r="V170" s="28" t="s">
        <v>5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24</v>
      </c>
      <c r="O174" s="28">
        <f>COUNTIF(C155:C174," ")</f>
        <v>0</v>
      </c>
      <c r="P174" s="28" t="s">
        <v>5</v>
      </c>
      <c r="Q174" s="28">
        <f>SUMIF(C155:C174," ",E155:E174)</f>
        <v>0</v>
      </c>
      <c r="R174" s="28"/>
      <c r="S174" s="28" t="s">
        <v>5</v>
      </c>
      <c r="T174" s="28"/>
      <c r="U174" s="28">
        <f>O174</f>
        <v>0</v>
      </c>
      <c r="V174" s="28" t="s">
        <v>5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39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3</v>
      </c>
      <c r="O175" s="28">
        <f>SUM(O155:O174)</f>
        <v>0</v>
      </c>
      <c r="P175" s="28" t="s">
        <v>5</v>
      </c>
      <c r="Q175" s="28">
        <f>SUM(Q155:Q174)</f>
        <v>0</v>
      </c>
      <c r="R175" s="28">
        <f>SUM(R155:R174)</f>
        <v>0</v>
      </c>
      <c r="S175" s="28" t="s">
        <v>5</v>
      </c>
      <c r="T175" s="28">
        <f>SUM(T155:T174)</f>
        <v>0</v>
      </c>
      <c r="U175" s="28">
        <f>SUM(U155:U174)</f>
        <v>0</v>
      </c>
      <c r="V175" s="28" t="s">
        <v>5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7</v>
      </c>
      <c r="O176" s="28">
        <f>COUNTIF(C176:C195,"전")</f>
        <v>0</v>
      </c>
      <c r="P176" s="28" t="s">
        <v>5</v>
      </c>
      <c r="Q176" s="28">
        <f>SUMIF(C176:C195,"전",E176:E195)</f>
        <v>0</v>
      </c>
      <c r="R176" s="28">
        <f>COUNTIF(X176:X195,"전국")</f>
        <v>0</v>
      </c>
      <c r="S176" s="28" t="s">
        <v>5</v>
      </c>
      <c r="T176" s="28">
        <f>SUMIF(X176:X195,"전국",E176:E195)</f>
        <v>0</v>
      </c>
      <c r="U176" s="28">
        <f t="shared" ref="U176:U191" si="40">O176-R176</f>
        <v>0</v>
      </c>
      <c r="V176" s="28" t="s">
        <v>5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8</v>
      </c>
      <c r="O177" s="28">
        <f>COUNTIF(C176:C195,"답")</f>
        <v>0</v>
      </c>
      <c r="P177" s="28" t="s">
        <v>5</v>
      </c>
      <c r="Q177" s="28">
        <f>SUMIF(C176:C195,"답",E176:E195)</f>
        <v>0</v>
      </c>
      <c r="R177" s="28">
        <f>COUNTIF(X176:X195,"답국")</f>
        <v>0</v>
      </c>
      <c r="S177" s="28" t="s">
        <v>5</v>
      </c>
      <c r="T177" s="28">
        <f>SUMIF(X176:X195,"답국",E176:E195)</f>
        <v>0</v>
      </c>
      <c r="U177" s="28">
        <f t="shared" si="40"/>
        <v>0</v>
      </c>
      <c r="V177" s="28" t="s">
        <v>5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9</v>
      </c>
      <c r="O178" s="28">
        <f>COUNTIF(C176:C195,"임")</f>
        <v>0</v>
      </c>
      <c r="P178" s="28" t="s">
        <v>5</v>
      </c>
      <c r="Q178" s="28">
        <f>SUMIF(C176:C195,"임",E176:E195)</f>
        <v>0</v>
      </c>
      <c r="R178" s="28">
        <f>COUNTIF(X176:X195,"임국")</f>
        <v>0</v>
      </c>
      <c r="S178" s="28" t="s">
        <v>5</v>
      </c>
      <c r="T178" s="28">
        <f>SUMIF(X176:X195,"임국",E176:E195)</f>
        <v>0</v>
      </c>
      <c r="U178" s="28">
        <f t="shared" si="40"/>
        <v>0</v>
      </c>
      <c r="V178" s="28" t="s">
        <v>5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10</v>
      </c>
      <c r="O179" s="28">
        <f>COUNTIF(C176:C195,"대")</f>
        <v>0</v>
      </c>
      <c r="P179" s="28" t="s">
        <v>5</v>
      </c>
      <c r="Q179" s="28">
        <f>SUMIF(C176:C195,"대",E176:E195)</f>
        <v>0</v>
      </c>
      <c r="R179" s="28">
        <f>COUNTIF(X176:X195,"대국")</f>
        <v>0</v>
      </c>
      <c r="S179" s="28" t="s">
        <v>5</v>
      </c>
      <c r="T179" s="28">
        <f>SUMIF(X176:X195,"대국",E176:E195)</f>
        <v>0</v>
      </c>
      <c r="U179" s="28">
        <f t="shared" si="40"/>
        <v>0</v>
      </c>
      <c r="V179" s="28" t="s">
        <v>5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11</v>
      </c>
      <c r="O180" s="28">
        <f>COUNTIF(C176:C195,"도")</f>
        <v>0</v>
      </c>
      <c r="P180" s="28" t="s">
        <v>5</v>
      </c>
      <c r="Q180" s="28">
        <f>SUMIF(C176:C195,"도",E176:E195)</f>
        <v>0</v>
      </c>
      <c r="R180" s="28">
        <f>COUNTIF(X176:X195,"도국")</f>
        <v>0</v>
      </c>
      <c r="S180" s="28" t="s">
        <v>5</v>
      </c>
      <c r="T180" s="28">
        <f>SUMIF(X176:X195,"도국",E176:E195)</f>
        <v>0</v>
      </c>
      <c r="U180" s="28">
        <f t="shared" si="40"/>
        <v>0</v>
      </c>
      <c r="V180" s="28" t="s">
        <v>5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12</v>
      </c>
      <c r="O181" s="28">
        <f>COUNTIF(C176:C195,"천")</f>
        <v>0</v>
      </c>
      <c r="P181" s="28" t="s">
        <v>5</v>
      </c>
      <c r="Q181" s="28">
        <f>SUMIF(C176:C195,"천",E176:E195)</f>
        <v>0</v>
      </c>
      <c r="R181" s="28">
        <f>COUNTIF(X176:X195,"천국")</f>
        <v>0</v>
      </c>
      <c r="S181" s="28" t="s">
        <v>5</v>
      </c>
      <c r="T181" s="28">
        <f>SUMIF(X176:X195,"천국",E176:E195)</f>
        <v>0</v>
      </c>
      <c r="U181" s="28">
        <f t="shared" si="40"/>
        <v>0</v>
      </c>
      <c r="V181" s="28" t="s">
        <v>5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13</v>
      </c>
      <c r="O182" s="28">
        <f>COUNTIF(C176:C195,"구")</f>
        <v>0</v>
      </c>
      <c r="P182" s="28" t="s">
        <v>5</v>
      </c>
      <c r="Q182" s="28">
        <f>SUMIF(C176:C195,"구",E176:E195)</f>
        <v>0</v>
      </c>
      <c r="R182" s="28">
        <f>COUNTIF(X176:X195,"구국")</f>
        <v>0</v>
      </c>
      <c r="S182" s="28" t="s">
        <v>5</v>
      </c>
      <c r="T182" s="28">
        <f>SUMIF(X176:X195,"구국",E176:E195)</f>
        <v>0</v>
      </c>
      <c r="U182" s="28">
        <f t="shared" si="40"/>
        <v>0</v>
      </c>
      <c r="V182" s="28" t="s">
        <v>5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14</v>
      </c>
      <c r="O183" s="28">
        <f>COUNTIF(C176:C195,"제")</f>
        <v>0</v>
      </c>
      <c r="P183" s="28" t="s">
        <v>5</v>
      </c>
      <c r="Q183" s="28">
        <f>SUMIF(C176:C195,"제",E176:E195)</f>
        <v>0</v>
      </c>
      <c r="R183" s="28">
        <f>COUNTIF(X176:X195,"제국")</f>
        <v>0</v>
      </c>
      <c r="S183" s="28" t="s">
        <v>5</v>
      </c>
      <c r="T183" s="28">
        <f>SUMIF(X176:X195,"제국",E176:E195)</f>
        <v>0</v>
      </c>
      <c r="U183" s="28">
        <f t="shared" si="40"/>
        <v>0</v>
      </c>
      <c r="V183" s="28" t="s">
        <v>5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15</v>
      </c>
      <c r="O184" s="28">
        <f>COUNTIF(C176:C195,"유")</f>
        <v>0</v>
      </c>
      <c r="P184" s="28" t="s">
        <v>5</v>
      </c>
      <c r="Q184" s="28">
        <f>SUMIF(C176:C195,"유",E176:E195)</f>
        <v>0</v>
      </c>
      <c r="R184" s="28">
        <f>COUNTIF(X176:X195,"유국")</f>
        <v>0</v>
      </c>
      <c r="S184" s="28" t="s">
        <v>5</v>
      </c>
      <c r="T184" s="28">
        <f>SUMIF(X176:X195,"유국",E176:E195)</f>
        <v>0</v>
      </c>
      <c r="U184" s="28">
        <f t="shared" si="40"/>
        <v>0</v>
      </c>
      <c r="V184" s="28" t="s">
        <v>5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16</v>
      </c>
      <c r="O185" s="28">
        <f>COUNTIF(C176:C195,"과")</f>
        <v>0</v>
      </c>
      <c r="P185" s="28" t="s">
        <v>5</v>
      </c>
      <c r="Q185" s="28">
        <f>SUMIF(C176:C195,"과",E176:E195)</f>
        <v>0</v>
      </c>
      <c r="R185" s="28">
        <f>COUNTIF(X176:X195,"과국")</f>
        <v>0</v>
      </c>
      <c r="S185" s="28" t="s">
        <v>5</v>
      </c>
      <c r="T185" s="28">
        <f>SUMIF(X176:X195,"과국",E176:E195)</f>
        <v>0</v>
      </c>
      <c r="U185" s="28">
        <f t="shared" si="40"/>
        <v>0</v>
      </c>
      <c r="V185" s="28" t="s">
        <v>5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17</v>
      </c>
      <c r="O186" s="28">
        <f>COUNTIF(C176:C195,"묘")</f>
        <v>0</v>
      </c>
      <c r="P186" s="28" t="s">
        <v>5</v>
      </c>
      <c r="Q186" s="28">
        <f>SUMIF(C176:C195,"묘",E176:E195)</f>
        <v>0</v>
      </c>
      <c r="R186" s="28">
        <f>COUNTIF(X176:X195,"묘국")</f>
        <v>0</v>
      </c>
      <c r="S186" s="28" t="s">
        <v>5</v>
      </c>
      <c r="T186" s="28">
        <f>SUMIF(X176:X195,"묘국",E176:E195)</f>
        <v>0</v>
      </c>
      <c r="U186" s="28">
        <f t="shared" si="40"/>
        <v>0</v>
      </c>
      <c r="V186" s="28" t="s">
        <v>5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18</v>
      </c>
      <c r="O187" s="28">
        <f>COUNTIF(C176:C195,"목")</f>
        <v>0</v>
      </c>
      <c r="P187" s="28" t="s">
        <v>5</v>
      </c>
      <c r="Q187" s="28">
        <f>SUMIF(C176:C195,"목",E176:E195)</f>
        <v>0</v>
      </c>
      <c r="R187" s="28">
        <f>COUNTIF(X176:X195,"목국")</f>
        <v>0</v>
      </c>
      <c r="S187" s="28" t="s">
        <v>5</v>
      </c>
      <c r="T187" s="28">
        <f>SUMIF(X176:X195,"목국",E176:E195)</f>
        <v>0</v>
      </c>
      <c r="U187" s="28">
        <f t="shared" si="40"/>
        <v>0</v>
      </c>
      <c r="V187" s="28" t="s">
        <v>5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19</v>
      </c>
      <c r="O188" s="28">
        <f>COUNTIF(C176:C195,"잡")</f>
        <v>0</v>
      </c>
      <c r="P188" s="28" t="s">
        <v>5</v>
      </c>
      <c r="Q188" s="28">
        <f>SUMIF(C176:C195,"잡",E176:E195)</f>
        <v>0</v>
      </c>
      <c r="R188" s="28">
        <f>COUNTIF(X176:X195,"잡국")</f>
        <v>0</v>
      </c>
      <c r="S188" s="28" t="s">
        <v>5</v>
      </c>
      <c r="T188" s="28">
        <f>SUMIF(X176:X195,"잡국",E176:E195)</f>
        <v>0</v>
      </c>
      <c r="U188" s="28">
        <f t="shared" si="40"/>
        <v>0</v>
      </c>
      <c r="V188" s="28" t="s">
        <v>5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23</v>
      </c>
      <c r="O189" s="28">
        <f>COUNTIF(C176:C195,"학")</f>
        <v>0</v>
      </c>
      <c r="P189" s="28" t="s">
        <v>5</v>
      </c>
      <c r="Q189" s="28">
        <f>SUMIF(C176:C195,"학",E176:E195)</f>
        <v>0</v>
      </c>
      <c r="R189" s="28">
        <f>COUNTIF(X176:X195,"학국")</f>
        <v>0</v>
      </c>
      <c r="S189" s="28" t="s">
        <v>5</v>
      </c>
      <c r="T189" s="28">
        <f>SUMIF(X176:X195,"학국",E176:E195)</f>
        <v>0</v>
      </c>
      <c r="U189" s="28">
        <f t="shared" si="40"/>
        <v>0</v>
      </c>
      <c r="V189" s="28" t="s">
        <v>5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20</v>
      </c>
      <c r="O190" s="28">
        <f>COUNTIF(C176:C195,"수")</f>
        <v>0</v>
      </c>
      <c r="P190" s="28" t="s">
        <v>5</v>
      </c>
      <c r="Q190" s="28">
        <f>SUMIF(C176:C195,"수",E176:E195)</f>
        <v>0</v>
      </c>
      <c r="R190" s="28">
        <f>COUNTIF(X176:X195,"수국")</f>
        <v>0</v>
      </c>
      <c r="S190" s="28" t="s">
        <v>5</v>
      </c>
      <c r="T190" s="28">
        <f>SUMIF(X176:X195,"수국",E176:E195)</f>
        <v>0</v>
      </c>
      <c r="U190" s="28">
        <f t="shared" si="40"/>
        <v>0</v>
      </c>
      <c r="V190" s="28" t="s">
        <v>5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21</v>
      </c>
      <c r="O191" s="28">
        <f>COUNTIF(C176:C195,"장")</f>
        <v>0</v>
      </c>
      <c r="P191" s="28" t="s">
        <v>5</v>
      </c>
      <c r="Q191" s="28">
        <f>SUMIF(C176:C195,"장",E176:E195)</f>
        <v>0</v>
      </c>
      <c r="R191" s="28">
        <f>COUNTIF(X176:X195,"장국")</f>
        <v>0</v>
      </c>
      <c r="S191" s="28" t="s">
        <v>5</v>
      </c>
      <c r="T191" s="28">
        <f>SUMIF(X176:X195,"장국",E176:E195)</f>
        <v>0</v>
      </c>
      <c r="U191" s="28">
        <f t="shared" si="40"/>
        <v>0</v>
      </c>
      <c r="V191" s="28" t="s">
        <v>5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24</v>
      </c>
      <c r="O195" s="28">
        <f>COUNTIF(C176:C195," ")</f>
        <v>0</v>
      </c>
      <c r="P195" s="28" t="s">
        <v>5</v>
      </c>
      <c r="Q195" s="28">
        <f>SUMIF(C176:C195," ",E176:E195)</f>
        <v>0</v>
      </c>
      <c r="R195" s="28"/>
      <c r="S195" s="28" t="s">
        <v>5</v>
      </c>
      <c r="T195" s="28"/>
      <c r="U195" s="28">
        <f>O195</f>
        <v>0</v>
      </c>
      <c r="V195" s="28" t="s">
        <v>5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39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3</v>
      </c>
      <c r="O196" s="28">
        <f>SUM(O176:O195)</f>
        <v>0</v>
      </c>
      <c r="P196" s="28" t="s">
        <v>5</v>
      </c>
      <c r="Q196" s="28">
        <f>SUM(Q176:Q195)</f>
        <v>0</v>
      </c>
      <c r="R196" s="28">
        <f>SUM(R176:R195)</f>
        <v>0</v>
      </c>
      <c r="S196" s="28" t="s">
        <v>5</v>
      </c>
      <c r="T196" s="28">
        <f>SUM(T176:T195)</f>
        <v>0</v>
      </c>
      <c r="U196" s="28">
        <f>SUM(U176:U195)</f>
        <v>0</v>
      </c>
      <c r="V196" s="28" t="s">
        <v>5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7</v>
      </c>
      <c r="O197" s="28">
        <f>COUNTIF(C197:C216,"전")</f>
        <v>0</v>
      </c>
      <c r="P197" s="28" t="s">
        <v>5</v>
      </c>
      <c r="Q197" s="28">
        <f>SUMIF(C197:C216,"전",E197:E216)</f>
        <v>0</v>
      </c>
      <c r="R197" s="28">
        <f>COUNTIF(X197:X216,"전국")</f>
        <v>0</v>
      </c>
      <c r="S197" s="28" t="s">
        <v>5</v>
      </c>
      <c r="T197" s="28">
        <f>SUMIF(X197:X216,"전국",E197:E216)</f>
        <v>0</v>
      </c>
      <c r="U197" s="28">
        <f t="shared" ref="U197:U212" si="45">O197-R197</f>
        <v>0</v>
      </c>
      <c r="V197" s="28" t="s">
        <v>5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8</v>
      </c>
      <c r="O198" s="28">
        <f>COUNTIF(C197:C216,"답")</f>
        <v>0</v>
      </c>
      <c r="P198" s="28" t="s">
        <v>5</v>
      </c>
      <c r="Q198" s="28">
        <f>SUMIF(C197:C216,"답",E197:E216)</f>
        <v>0</v>
      </c>
      <c r="R198" s="28">
        <f>COUNTIF(X197:X216,"답국")</f>
        <v>0</v>
      </c>
      <c r="S198" s="28" t="s">
        <v>5</v>
      </c>
      <c r="T198" s="28">
        <f>SUMIF(X197:X216,"답국",E197:E216)</f>
        <v>0</v>
      </c>
      <c r="U198" s="28">
        <f t="shared" si="45"/>
        <v>0</v>
      </c>
      <c r="V198" s="28" t="s">
        <v>5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9</v>
      </c>
      <c r="O199" s="28">
        <f>COUNTIF(C197:C216,"임")</f>
        <v>0</v>
      </c>
      <c r="P199" s="28" t="s">
        <v>5</v>
      </c>
      <c r="Q199" s="28">
        <f>SUMIF(C197:C216,"임",E197:E216)</f>
        <v>0</v>
      </c>
      <c r="R199" s="28">
        <f>COUNTIF(X197:X216,"임국")</f>
        <v>0</v>
      </c>
      <c r="S199" s="28" t="s">
        <v>5</v>
      </c>
      <c r="T199" s="28">
        <f>SUMIF(X197:X216,"임국",E197:E216)</f>
        <v>0</v>
      </c>
      <c r="U199" s="28">
        <f t="shared" si="45"/>
        <v>0</v>
      </c>
      <c r="V199" s="28" t="s">
        <v>5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10</v>
      </c>
      <c r="O200" s="28">
        <f>COUNTIF(C197:C216,"대")</f>
        <v>0</v>
      </c>
      <c r="P200" s="28" t="s">
        <v>5</v>
      </c>
      <c r="Q200" s="28">
        <f>SUMIF(C197:C216,"대",E197:E216)</f>
        <v>0</v>
      </c>
      <c r="R200" s="28">
        <f>COUNTIF(X197:X216,"대국")</f>
        <v>0</v>
      </c>
      <c r="S200" s="28" t="s">
        <v>5</v>
      </c>
      <c r="T200" s="28">
        <f>SUMIF(X197:X216,"대국",E197:E216)</f>
        <v>0</v>
      </c>
      <c r="U200" s="28">
        <f t="shared" si="45"/>
        <v>0</v>
      </c>
      <c r="V200" s="28" t="s">
        <v>5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11</v>
      </c>
      <c r="O201" s="28">
        <f>COUNTIF(C197:C216,"도")</f>
        <v>0</v>
      </c>
      <c r="P201" s="28" t="s">
        <v>5</v>
      </c>
      <c r="Q201" s="28">
        <f>SUMIF(C197:C216,"도",E197:E216)</f>
        <v>0</v>
      </c>
      <c r="R201" s="28">
        <f>COUNTIF(X197:X216,"도국")</f>
        <v>0</v>
      </c>
      <c r="S201" s="28" t="s">
        <v>5</v>
      </c>
      <c r="T201" s="28">
        <f>SUMIF(X197:X216,"도국",E197:E216)</f>
        <v>0</v>
      </c>
      <c r="U201" s="28">
        <f t="shared" si="45"/>
        <v>0</v>
      </c>
      <c r="V201" s="28" t="s">
        <v>5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12</v>
      </c>
      <c r="O202" s="28">
        <f>COUNTIF(C197:C216,"천")</f>
        <v>0</v>
      </c>
      <c r="P202" s="28" t="s">
        <v>5</v>
      </c>
      <c r="Q202" s="28">
        <f>SUMIF(C197:C216,"천",E197:E216)</f>
        <v>0</v>
      </c>
      <c r="R202" s="28">
        <f>COUNTIF(X197:X216,"천국")</f>
        <v>0</v>
      </c>
      <c r="S202" s="28" t="s">
        <v>5</v>
      </c>
      <c r="T202" s="28">
        <f>SUMIF(X197:X216,"천국",E197:E216)</f>
        <v>0</v>
      </c>
      <c r="U202" s="28">
        <f t="shared" si="45"/>
        <v>0</v>
      </c>
      <c r="V202" s="28" t="s">
        <v>5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13</v>
      </c>
      <c r="O203" s="28">
        <f>COUNTIF(C197:C216,"구")</f>
        <v>0</v>
      </c>
      <c r="P203" s="28" t="s">
        <v>5</v>
      </c>
      <c r="Q203" s="28">
        <f>SUMIF(C197:C216,"구",E197:E216)</f>
        <v>0</v>
      </c>
      <c r="R203" s="28">
        <f>COUNTIF(X197:X216,"구국")</f>
        <v>0</v>
      </c>
      <c r="S203" s="28" t="s">
        <v>5</v>
      </c>
      <c r="T203" s="28">
        <f>SUMIF(X197:X216,"구국",E197:E216)</f>
        <v>0</v>
      </c>
      <c r="U203" s="28">
        <f t="shared" si="45"/>
        <v>0</v>
      </c>
      <c r="V203" s="28" t="s">
        <v>5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14</v>
      </c>
      <c r="O204" s="28">
        <f>COUNTIF(C197:C216,"제")</f>
        <v>0</v>
      </c>
      <c r="P204" s="28" t="s">
        <v>5</v>
      </c>
      <c r="Q204" s="28">
        <f>SUMIF(C197:C216,"제",E197:E216)</f>
        <v>0</v>
      </c>
      <c r="R204" s="28">
        <f>COUNTIF(X197:X216,"제국")</f>
        <v>0</v>
      </c>
      <c r="S204" s="28" t="s">
        <v>5</v>
      </c>
      <c r="T204" s="28">
        <f>SUMIF(X197:X216,"제국",E197:E216)</f>
        <v>0</v>
      </c>
      <c r="U204" s="28">
        <f t="shared" si="45"/>
        <v>0</v>
      </c>
      <c r="V204" s="28" t="s">
        <v>5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15</v>
      </c>
      <c r="O205" s="28">
        <f>COUNTIF(C197:C216,"유")</f>
        <v>0</v>
      </c>
      <c r="P205" s="28" t="s">
        <v>5</v>
      </c>
      <c r="Q205" s="28">
        <f>SUMIF(C197:C216,"유",E197:E216)</f>
        <v>0</v>
      </c>
      <c r="R205" s="28">
        <f>COUNTIF(X197:X216,"유국")</f>
        <v>0</v>
      </c>
      <c r="S205" s="28" t="s">
        <v>5</v>
      </c>
      <c r="T205" s="28">
        <f>SUMIF(X197:X216,"유국",E197:E216)</f>
        <v>0</v>
      </c>
      <c r="U205" s="28">
        <f t="shared" si="45"/>
        <v>0</v>
      </c>
      <c r="V205" s="28" t="s">
        <v>5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16</v>
      </c>
      <c r="O206" s="28">
        <f>COUNTIF(C197:C216,"과")</f>
        <v>0</v>
      </c>
      <c r="P206" s="28" t="s">
        <v>5</v>
      </c>
      <c r="Q206" s="28">
        <f>SUMIF(C197:C216,"과",E197:E216)</f>
        <v>0</v>
      </c>
      <c r="R206" s="28">
        <f>COUNTIF(X197:X216,"과국")</f>
        <v>0</v>
      </c>
      <c r="S206" s="28" t="s">
        <v>5</v>
      </c>
      <c r="T206" s="28">
        <f>SUMIF(X197:X216,"과국",E197:E216)</f>
        <v>0</v>
      </c>
      <c r="U206" s="28">
        <f t="shared" si="45"/>
        <v>0</v>
      </c>
      <c r="V206" s="28" t="s">
        <v>5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17</v>
      </c>
      <c r="O207" s="28">
        <f>COUNTIF(C197:C216,"묘")</f>
        <v>0</v>
      </c>
      <c r="P207" s="28" t="s">
        <v>5</v>
      </c>
      <c r="Q207" s="28">
        <f>SUMIF(C197:C216,"묘",E197:E216)</f>
        <v>0</v>
      </c>
      <c r="R207" s="28">
        <f>COUNTIF(X197:X216,"묘국")</f>
        <v>0</v>
      </c>
      <c r="S207" s="28" t="s">
        <v>5</v>
      </c>
      <c r="T207" s="28">
        <f>SUMIF(X197:X216,"묘국",E197:E216)</f>
        <v>0</v>
      </c>
      <c r="U207" s="28">
        <f t="shared" si="45"/>
        <v>0</v>
      </c>
      <c r="V207" s="28" t="s">
        <v>5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18</v>
      </c>
      <c r="O208" s="28">
        <f>COUNTIF(C197:C216,"목")</f>
        <v>0</v>
      </c>
      <c r="P208" s="28" t="s">
        <v>5</v>
      </c>
      <c r="Q208" s="28">
        <f>SUMIF(C197:C216,"목",E197:E216)</f>
        <v>0</v>
      </c>
      <c r="R208" s="28">
        <f>COUNTIF(X197:X216,"목국")</f>
        <v>0</v>
      </c>
      <c r="S208" s="28" t="s">
        <v>5</v>
      </c>
      <c r="T208" s="28">
        <f>SUMIF(X197:X216,"목국",E197:E216)</f>
        <v>0</v>
      </c>
      <c r="U208" s="28">
        <f t="shared" si="45"/>
        <v>0</v>
      </c>
      <c r="V208" s="28" t="s">
        <v>5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19</v>
      </c>
      <c r="O209" s="28">
        <f>COUNTIF(C197:C216,"잡")</f>
        <v>0</v>
      </c>
      <c r="P209" s="28" t="s">
        <v>5</v>
      </c>
      <c r="Q209" s="28">
        <f>SUMIF(C197:C216,"잡",E197:E216)</f>
        <v>0</v>
      </c>
      <c r="R209" s="28">
        <f>COUNTIF(X197:X216,"잡국")</f>
        <v>0</v>
      </c>
      <c r="S209" s="28" t="s">
        <v>5</v>
      </c>
      <c r="T209" s="28">
        <f>SUMIF(X197:X216,"잡국",E197:E216)</f>
        <v>0</v>
      </c>
      <c r="U209" s="28">
        <f t="shared" si="45"/>
        <v>0</v>
      </c>
      <c r="V209" s="28" t="s">
        <v>5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23</v>
      </c>
      <c r="O210" s="28">
        <f>COUNTIF(C197:C216,"학")</f>
        <v>0</v>
      </c>
      <c r="P210" s="28" t="s">
        <v>5</v>
      </c>
      <c r="Q210" s="28">
        <f>SUMIF(C197:C216,"학",E197:E216)</f>
        <v>0</v>
      </c>
      <c r="R210" s="28">
        <f>COUNTIF(X197:X216,"학국")</f>
        <v>0</v>
      </c>
      <c r="S210" s="28" t="s">
        <v>5</v>
      </c>
      <c r="T210" s="28">
        <f>SUMIF(X197:X216,"학국",E197:E216)</f>
        <v>0</v>
      </c>
      <c r="U210" s="28">
        <f t="shared" si="45"/>
        <v>0</v>
      </c>
      <c r="V210" s="28" t="s">
        <v>5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20</v>
      </c>
      <c r="O211" s="28">
        <f>COUNTIF(C197:C216,"수")</f>
        <v>0</v>
      </c>
      <c r="P211" s="28" t="s">
        <v>5</v>
      </c>
      <c r="Q211" s="28">
        <f>SUMIF(C197:C216,"수",E197:E216)</f>
        <v>0</v>
      </c>
      <c r="R211" s="28">
        <f>COUNTIF(X197:X216,"수국")</f>
        <v>0</v>
      </c>
      <c r="S211" s="28" t="s">
        <v>5</v>
      </c>
      <c r="T211" s="28">
        <f>SUMIF(X197:X216,"수국",E197:E216)</f>
        <v>0</v>
      </c>
      <c r="U211" s="28">
        <f t="shared" si="45"/>
        <v>0</v>
      </c>
      <c r="V211" s="28" t="s">
        <v>5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21</v>
      </c>
      <c r="O212" s="28">
        <f>COUNTIF(C197:C216,"장")</f>
        <v>0</v>
      </c>
      <c r="P212" s="28" t="s">
        <v>5</v>
      </c>
      <c r="Q212" s="28">
        <f>SUMIF(C197:C216,"장",E197:E216)</f>
        <v>0</v>
      </c>
      <c r="R212" s="28">
        <f>COUNTIF(X197:X216,"장국")</f>
        <v>0</v>
      </c>
      <c r="S212" s="28" t="s">
        <v>5</v>
      </c>
      <c r="T212" s="28">
        <f>SUMIF(X197:X216,"장국",E197:E216)</f>
        <v>0</v>
      </c>
      <c r="U212" s="28">
        <f t="shared" si="45"/>
        <v>0</v>
      </c>
      <c r="V212" s="28" t="s">
        <v>5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24</v>
      </c>
      <c r="O216" s="28">
        <f>COUNTIF(C197:C216," ")</f>
        <v>0</v>
      </c>
      <c r="P216" s="28" t="s">
        <v>5</v>
      </c>
      <c r="Q216" s="28">
        <f>SUMIF(C197:C216," ",E197:E216)</f>
        <v>0</v>
      </c>
      <c r="R216" s="28"/>
      <c r="S216" s="28" t="s">
        <v>5</v>
      </c>
      <c r="T216" s="28"/>
      <c r="U216" s="28">
        <f>O216</f>
        <v>0</v>
      </c>
      <c r="V216" s="28" t="s">
        <v>5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39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3</v>
      </c>
      <c r="O217" s="28">
        <f>SUM(O197:O216)</f>
        <v>0</v>
      </c>
      <c r="P217" s="28" t="s">
        <v>5</v>
      </c>
      <c r="Q217" s="28">
        <f>SUM(Q197:Q216)</f>
        <v>0</v>
      </c>
      <c r="R217" s="28">
        <f>SUM(R197:R216)</f>
        <v>0</v>
      </c>
      <c r="S217" s="28" t="s">
        <v>5</v>
      </c>
      <c r="T217" s="28">
        <f>SUM(T197:T216)</f>
        <v>0</v>
      </c>
      <c r="U217" s="28">
        <f>SUM(U197:U216)</f>
        <v>0</v>
      </c>
      <c r="V217" s="28" t="s">
        <v>5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7</v>
      </c>
      <c r="O218" s="28">
        <f>COUNTIF(C218:C237,"전")</f>
        <v>0</v>
      </c>
      <c r="P218" s="28" t="s">
        <v>5</v>
      </c>
      <c r="Q218" s="28">
        <f>SUMIF(C218:C237,"전",E218:E237)</f>
        <v>0</v>
      </c>
      <c r="R218" s="28">
        <f>COUNTIF(X218:X237,"전국")</f>
        <v>0</v>
      </c>
      <c r="S218" s="28" t="s">
        <v>5</v>
      </c>
      <c r="T218" s="28">
        <f>SUMIF(X218:X237,"전국",E218:E237)</f>
        <v>0</v>
      </c>
      <c r="U218" s="28">
        <f t="shared" ref="U218:U233" si="51">O218-R218</f>
        <v>0</v>
      </c>
      <c r="V218" s="28" t="s">
        <v>5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8</v>
      </c>
      <c r="O219" s="28">
        <f>COUNTIF(C218:C237,"답")</f>
        <v>0</v>
      </c>
      <c r="P219" s="28" t="s">
        <v>5</v>
      </c>
      <c r="Q219" s="28">
        <f>SUMIF(C218:C237,"답",E218:E237)</f>
        <v>0</v>
      </c>
      <c r="R219" s="28">
        <f>COUNTIF(X218:X237,"답국")</f>
        <v>0</v>
      </c>
      <c r="S219" s="28" t="s">
        <v>5</v>
      </c>
      <c r="T219" s="28">
        <f>SUMIF(X218:X237,"답국",E218:E237)</f>
        <v>0</v>
      </c>
      <c r="U219" s="28">
        <f t="shared" si="51"/>
        <v>0</v>
      </c>
      <c r="V219" s="28" t="s">
        <v>5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9</v>
      </c>
      <c r="O220" s="28">
        <f>COUNTIF(C218:C237,"임")</f>
        <v>0</v>
      </c>
      <c r="P220" s="28" t="s">
        <v>5</v>
      </c>
      <c r="Q220" s="28">
        <f>SUMIF(C218:C237,"임",E218:E237)</f>
        <v>0</v>
      </c>
      <c r="R220" s="28">
        <f>COUNTIF(X218:X237,"임국")</f>
        <v>0</v>
      </c>
      <c r="S220" s="28" t="s">
        <v>5</v>
      </c>
      <c r="T220" s="28">
        <f>SUMIF(X218:X237,"임국",E218:E237)</f>
        <v>0</v>
      </c>
      <c r="U220" s="28">
        <f t="shared" si="51"/>
        <v>0</v>
      </c>
      <c r="V220" s="28" t="s">
        <v>5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10</v>
      </c>
      <c r="O221" s="28">
        <f>COUNTIF(C218:C237,"대")</f>
        <v>0</v>
      </c>
      <c r="P221" s="28" t="s">
        <v>5</v>
      </c>
      <c r="Q221" s="28">
        <f>SUMIF(C218:C237,"대",E218:E237)</f>
        <v>0</v>
      </c>
      <c r="R221" s="28">
        <f>COUNTIF(X218:X237,"대국")</f>
        <v>0</v>
      </c>
      <c r="S221" s="28" t="s">
        <v>5</v>
      </c>
      <c r="T221" s="28">
        <f>SUMIF(X218:X237,"대국",E218:E237)</f>
        <v>0</v>
      </c>
      <c r="U221" s="28">
        <f t="shared" si="51"/>
        <v>0</v>
      </c>
      <c r="V221" s="28" t="s">
        <v>5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11</v>
      </c>
      <c r="O222" s="28">
        <f>COUNTIF(C218:C237,"도")</f>
        <v>0</v>
      </c>
      <c r="P222" s="28" t="s">
        <v>5</v>
      </c>
      <c r="Q222" s="28">
        <f>SUMIF(C218:C237,"도",E218:E237)</f>
        <v>0</v>
      </c>
      <c r="R222" s="28">
        <f>COUNTIF(X218:X237,"도국")</f>
        <v>0</v>
      </c>
      <c r="S222" s="28" t="s">
        <v>5</v>
      </c>
      <c r="T222" s="28">
        <f>SUMIF(X218:X237,"도국",E218:E237)</f>
        <v>0</v>
      </c>
      <c r="U222" s="28">
        <f t="shared" si="51"/>
        <v>0</v>
      </c>
      <c r="V222" s="28" t="s">
        <v>5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12</v>
      </c>
      <c r="O223" s="28">
        <f>COUNTIF(C218:C237,"천")</f>
        <v>0</v>
      </c>
      <c r="P223" s="28" t="s">
        <v>5</v>
      </c>
      <c r="Q223" s="28">
        <f>SUMIF(C218:C237,"천",E218:E237)</f>
        <v>0</v>
      </c>
      <c r="R223" s="28">
        <f>COUNTIF(X218:X237,"천국")</f>
        <v>0</v>
      </c>
      <c r="S223" s="28" t="s">
        <v>5</v>
      </c>
      <c r="T223" s="28">
        <f>SUMIF(X218:X237,"천국",E218:E237)</f>
        <v>0</v>
      </c>
      <c r="U223" s="28">
        <f t="shared" si="51"/>
        <v>0</v>
      </c>
      <c r="V223" s="28" t="s">
        <v>5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13</v>
      </c>
      <c r="O224" s="28">
        <f>COUNTIF(C218:C237,"구")</f>
        <v>0</v>
      </c>
      <c r="P224" s="28" t="s">
        <v>5</v>
      </c>
      <c r="Q224" s="28">
        <f>SUMIF(C218:C237,"구",E218:E237)</f>
        <v>0</v>
      </c>
      <c r="R224" s="28">
        <f>COUNTIF(X218:X237,"구국")</f>
        <v>0</v>
      </c>
      <c r="S224" s="28" t="s">
        <v>5</v>
      </c>
      <c r="T224" s="28">
        <f>SUMIF(X218:X237,"구국",E218:E237)</f>
        <v>0</v>
      </c>
      <c r="U224" s="28">
        <f t="shared" si="51"/>
        <v>0</v>
      </c>
      <c r="V224" s="28" t="s">
        <v>5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14</v>
      </c>
      <c r="O225" s="28">
        <f>COUNTIF(C218:C237,"제")</f>
        <v>0</v>
      </c>
      <c r="P225" s="28" t="s">
        <v>5</v>
      </c>
      <c r="Q225" s="28">
        <f>SUMIF(C218:C237,"제",E218:E237)</f>
        <v>0</v>
      </c>
      <c r="R225" s="28">
        <f>COUNTIF(X218:X237,"제국")</f>
        <v>0</v>
      </c>
      <c r="S225" s="28" t="s">
        <v>5</v>
      </c>
      <c r="T225" s="28">
        <f>SUMIF(X218:X237,"제국",E218:E237)</f>
        <v>0</v>
      </c>
      <c r="U225" s="28">
        <f t="shared" si="51"/>
        <v>0</v>
      </c>
      <c r="V225" s="28" t="s">
        <v>5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15</v>
      </c>
      <c r="O226" s="28">
        <f>COUNTIF(C218:C237,"유")</f>
        <v>0</v>
      </c>
      <c r="P226" s="28" t="s">
        <v>5</v>
      </c>
      <c r="Q226" s="28">
        <f>SUMIF(C218:C237,"유",E218:E237)</f>
        <v>0</v>
      </c>
      <c r="R226" s="28">
        <f>COUNTIF(X218:X237,"유국")</f>
        <v>0</v>
      </c>
      <c r="S226" s="28" t="s">
        <v>5</v>
      </c>
      <c r="T226" s="28">
        <f>SUMIF(X218:X237,"유국",E218:E237)</f>
        <v>0</v>
      </c>
      <c r="U226" s="28">
        <f t="shared" si="51"/>
        <v>0</v>
      </c>
      <c r="V226" s="28" t="s">
        <v>5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16</v>
      </c>
      <c r="O227" s="28">
        <f>COUNTIF(C218:C237,"과")</f>
        <v>0</v>
      </c>
      <c r="P227" s="28" t="s">
        <v>5</v>
      </c>
      <c r="Q227" s="28">
        <f>SUMIF(C218:C237,"과",E218:E237)</f>
        <v>0</v>
      </c>
      <c r="R227" s="28">
        <f>COUNTIF(X218:X237,"과국")</f>
        <v>0</v>
      </c>
      <c r="S227" s="28" t="s">
        <v>5</v>
      </c>
      <c r="T227" s="28">
        <f>SUMIF(X218:X237,"과국",E218:E237)</f>
        <v>0</v>
      </c>
      <c r="U227" s="28">
        <f t="shared" si="51"/>
        <v>0</v>
      </c>
      <c r="V227" s="28" t="s">
        <v>5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17</v>
      </c>
      <c r="O228" s="28">
        <f>COUNTIF(C218:C237,"묘")</f>
        <v>0</v>
      </c>
      <c r="P228" s="28" t="s">
        <v>5</v>
      </c>
      <c r="Q228" s="28">
        <f>SUMIF(C218:C237,"묘",E218:E237)</f>
        <v>0</v>
      </c>
      <c r="R228" s="28">
        <f>COUNTIF(X218:X237,"묘국")</f>
        <v>0</v>
      </c>
      <c r="S228" s="28" t="s">
        <v>5</v>
      </c>
      <c r="T228" s="28">
        <f>SUMIF(X218:X237,"묘국",E218:E237)</f>
        <v>0</v>
      </c>
      <c r="U228" s="28">
        <f t="shared" si="51"/>
        <v>0</v>
      </c>
      <c r="V228" s="28" t="s">
        <v>5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18</v>
      </c>
      <c r="O229" s="28">
        <f>COUNTIF(C218:C237,"목")</f>
        <v>0</v>
      </c>
      <c r="P229" s="28" t="s">
        <v>5</v>
      </c>
      <c r="Q229" s="28">
        <f>SUMIF(C218:C237,"목",E218:E237)</f>
        <v>0</v>
      </c>
      <c r="R229" s="28">
        <f>COUNTIF(X218:X237,"목국")</f>
        <v>0</v>
      </c>
      <c r="S229" s="28" t="s">
        <v>5</v>
      </c>
      <c r="T229" s="28">
        <f>SUMIF(X218:X237,"목국",E218:E237)</f>
        <v>0</v>
      </c>
      <c r="U229" s="28">
        <f t="shared" si="51"/>
        <v>0</v>
      </c>
      <c r="V229" s="28" t="s">
        <v>5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19</v>
      </c>
      <c r="O230" s="28">
        <f>COUNTIF(C218:C237,"잡")</f>
        <v>0</v>
      </c>
      <c r="P230" s="28" t="s">
        <v>5</v>
      </c>
      <c r="Q230" s="28">
        <f>SUMIF(C218:C237,"잡",E218:E237)</f>
        <v>0</v>
      </c>
      <c r="R230" s="28">
        <f>COUNTIF(X218:X237,"잡국")</f>
        <v>0</v>
      </c>
      <c r="S230" s="28" t="s">
        <v>5</v>
      </c>
      <c r="T230" s="28">
        <f>SUMIF(X218:X237,"잡국",E218:E237)</f>
        <v>0</v>
      </c>
      <c r="U230" s="28">
        <f t="shared" si="51"/>
        <v>0</v>
      </c>
      <c r="V230" s="28" t="s">
        <v>5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23</v>
      </c>
      <c r="O231" s="28">
        <f>COUNTIF(C218:C237,"학")</f>
        <v>0</v>
      </c>
      <c r="P231" s="28" t="s">
        <v>5</v>
      </c>
      <c r="Q231" s="28">
        <f>SUMIF(C218:C237,"학",E218:E237)</f>
        <v>0</v>
      </c>
      <c r="R231" s="28">
        <f>COUNTIF(X218:X237,"학국")</f>
        <v>0</v>
      </c>
      <c r="S231" s="28" t="s">
        <v>5</v>
      </c>
      <c r="T231" s="28">
        <f>SUMIF(X218:X237,"학국",E218:E237)</f>
        <v>0</v>
      </c>
      <c r="U231" s="28">
        <f t="shared" si="51"/>
        <v>0</v>
      </c>
      <c r="V231" s="28" t="s">
        <v>5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20</v>
      </c>
      <c r="O232" s="28">
        <f>COUNTIF(C218:C237,"수")</f>
        <v>0</v>
      </c>
      <c r="P232" s="28" t="s">
        <v>5</v>
      </c>
      <c r="Q232" s="28">
        <f>SUMIF(C218:C237,"수",E218:E237)</f>
        <v>0</v>
      </c>
      <c r="R232" s="28">
        <f>COUNTIF(X218:X237,"수국")</f>
        <v>0</v>
      </c>
      <c r="S232" s="28" t="s">
        <v>5</v>
      </c>
      <c r="T232" s="28">
        <f>SUMIF(X218:X237,"수국",E218:E237)</f>
        <v>0</v>
      </c>
      <c r="U232" s="28">
        <f t="shared" si="51"/>
        <v>0</v>
      </c>
      <c r="V232" s="28" t="s">
        <v>5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21</v>
      </c>
      <c r="O233" s="28">
        <f>COUNTIF(C218:C237,"장")</f>
        <v>0</v>
      </c>
      <c r="P233" s="28" t="s">
        <v>5</v>
      </c>
      <c r="Q233" s="28">
        <f>SUMIF(C218:C237,"장",E218:E237)</f>
        <v>0</v>
      </c>
      <c r="R233" s="28">
        <f>COUNTIF(X218:X237,"장국")</f>
        <v>0</v>
      </c>
      <c r="S233" s="28" t="s">
        <v>5</v>
      </c>
      <c r="T233" s="28">
        <f>SUMIF(X218:X237,"장국",E218:E237)</f>
        <v>0</v>
      </c>
      <c r="U233" s="28">
        <f t="shared" si="51"/>
        <v>0</v>
      </c>
      <c r="V233" s="28" t="s">
        <v>5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24</v>
      </c>
      <c r="O237" s="28">
        <f>COUNTIF(C218:C237," ")</f>
        <v>0</v>
      </c>
      <c r="P237" s="28" t="s">
        <v>5</v>
      </c>
      <c r="Q237" s="28">
        <f>SUMIF(C218:C237," ",E218:E237)</f>
        <v>0</v>
      </c>
      <c r="R237" s="28"/>
      <c r="S237" s="28" t="s">
        <v>5</v>
      </c>
      <c r="T237" s="28"/>
      <c r="U237" s="28">
        <f>O237</f>
        <v>0</v>
      </c>
      <c r="V237" s="28" t="s">
        <v>5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39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3</v>
      </c>
      <c r="O238" s="28">
        <f>SUM(O218:O237)</f>
        <v>0</v>
      </c>
      <c r="P238" s="28" t="s">
        <v>5</v>
      </c>
      <c r="Q238" s="28">
        <f>SUM(Q218:Q237)</f>
        <v>0</v>
      </c>
      <c r="R238" s="28">
        <f>SUM(R218:R237)</f>
        <v>0</v>
      </c>
      <c r="S238" s="28" t="s">
        <v>5</v>
      </c>
      <c r="T238" s="28">
        <f>SUM(T218:T237)</f>
        <v>0</v>
      </c>
      <c r="U238" s="28">
        <f>SUM(U218:U237)</f>
        <v>0</v>
      </c>
      <c r="V238" s="28" t="s">
        <v>5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7</v>
      </c>
      <c r="O239" s="28">
        <f>COUNTIF(C239:C258,"전")</f>
        <v>0</v>
      </c>
      <c r="P239" s="28" t="s">
        <v>5</v>
      </c>
      <c r="Q239" s="28">
        <f>SUMIF(C239:C258,"전",E239:E258)</f>
        <v>0</v>
      </c>
      <c r="R239" s="28">
        <f>COUNTIF(X239:X258,"전국")</f>
        <v>0</v>
      </c>
      <c r="S239" s="28" t="s">
        <v>5</v>
      </c>
      <c r="T239" s="28">
        <f>SUMIF(X239:X258,"전국",E239:E258)</f>
        <v>0</v>
      </c>
      <c r="U239" s="28">
        <f t="shared" ref="U239:U254" si="56">O239-R239</f>
        <v>0</v>
      </c>
      <c r="V239" s="28" t="s">
        <v>5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8</v>
      </c>
      <c r="O240" s="28">
        <f>COUNTIF(C239:C258,"답")</f>
        <v>0</v>
      </c>
      <c r="P240" s="28" t="s">
        <v>5</v>
      </c>
      <c r="Q240" s="28">
        <f>SUMIF(C239:C258,"답",E239:E258)</f>
        <v>0</v>
      </c>
      <c r="R240" s="28">
        <f>COUNTIF(X239:X258,"답국")</f>
        <v>0</v>
      </c>
      <c r="S240" s="28" t="s">
        <v>5</v>
      </c>
      <c r="T240" s="28">
        <f>SUMIF(X239:X258,"답국",E239:E258)</f>
        <v>0</v>
      </c>
      <c r="U240" s="28">
        <f t="shared" si="56"/>
        <v>0</v>
      </c>
      <c r="V240" s="28" t="s">
        <v>5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9</v>
      </c>
      <c r="O241" s="28">
        <f>COUNTIF(C239:C258,"임")</f>
        <v>0</v>
      </c>
      <c r="P241" s="28" t="s">
        <v>5</v>
      </c>
      <c r="Q241" s="28">
        <f>SUMIF(C239:C258,"임",E239:E258)</f>
        <v>0</v>
      </c>
      <c r="R241" s="28">
        <f>COUNTIF(X239:X258,"임국")</f>
        <v>0</v>
      </c>
      <c r="S241" s="28" t="s">
        <v>5</v>
      </c>
      <c r="T241" s="28">
        <f>SUMIF(X239:X258,"임국",E239:E258)</f>
        <v>0</v>
      </c>
      <c r="U241" s="28">
        <f t="shared" si="56"/>
        <v>0</v>
      </c>
      <c r="V241" s="28" t="s">
        <v>5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10</v>
      </c>
      <c r="O242" s="28">
        <f>COUNTIF(C239:C258,"대")</f>
        <v>0</v>
      </c>
      <c r="P242" s="28" t="s">
        <v>5</v>
      </c>
      <c r="Q242" s="28">
        <f>SUMIF(C239:C258,"대",E239:E258)</f>
        <v>0</v>
      </c>
      <c r="R242" s="28">
        <f>COUNTIF(X239:X258,"대국")</f>
        <v>0</v>
      </c>
      <c r="S242" s="28" t="s">
        <v>5</v>
      </c>
      <c r="T242" s="28">
        <f>SUMIF(X239:X258,"대국",E239:E258)</f>
        <v>0</v>
      </c>
      <c r="U242" s="28">
        <f t="shared" si="56"/>
        <v>0</v>
      </c>
      <c r="V242" s="28" t="s">
        <v>5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11</v>
      </c>
      <c r="O243" s="28">
        <f>COUNTIF(C239:C258,"도")</f>
        <v>0</v>
      </c>
      <c r="P243" s="28" t="s">
        <v>5</v>
      </c>
      <c r="Q243" s="28">
        <f>SUMIF(C239:C258,"도",E239:E258)</f>
        <v>0</v>
      </c>
      <c r="R243" s="28">
        <f>COUNTIF(X239:X258,"도국")</f>
        <v>0</v>
      </c>
      <c r="S243" s="28" t="s">
        <v>5</v>
      </c>
      <c r="T243" s="28">
        <f>SUMIF(X239:X258,"도국",E239:E258)</f>
        <v>0</v>
      </c>
      <c r="U243" s="28">
        <f t="shared" si="56"/>
        <v>0</v>
      </c>
      <c r="V243" s="28" t="s">
        <v>5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12</v>
      </c>
      <c r="O244" s="28">
        <f>COUNTIF(C239:C258,"천")</f>
        <v>0</v>
      </c>
      <c r="P244" s="28" t="s">
        <v>5</v>
      </c>
      <c r="Q244" s="28">
        <f>SUMIF(C239:C258,"천",E239:E258)</f>
        <v>0</v>
      </c>
      <c r="R244" s="28">
        <f>COUNTIF(X239:X258,"천국")</f>
        <v>0</v>
      </c>
      <c r="S244" s="28" t="s">
        <v>5</v>
      </c>
      <c r="T244" s="28">
        <f>SUMIF(X239:X258,"천국",E239:E258)</f>
        <v>0</v>
      </c>
      <c r="U244" s="28">
        <f t="shared" si="56"/>
        <v>0</v>
      </c>
      <c r="V244" s="28" t="s">
        <v>5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13</v>
      </c>
      <c r="O245" s="28">
        <f>COUNTIF(C239:C258,"구")</f>
        <v>0</v>
      </c>
      <c r="P245" s="28" t="s">
        <v>5</v>
      </c>
      <c r="Q245" s="28">
        <f>SUMIF(C239:C258,"구",E239:E258)</f>
        <v>0</v>
      </c>
      <c r="R245" s="28">
        <f>COUNTIF(X239:X258,"구국")</f>
        <v>0</v>
      </c>
      <c r="S245" s="28" t="s">
        <v>5</v>
      </c>
      <c r="T245" s="28">
        <f>SUMIF(X239:X258,"구국",E239:E258)</f>
        <v>0</v>
      </c>
      <c r="U245" s="28">
        <f t="shared" si="56"/>
        <v>0</v>
      </c>
      <c r="V245" s="28" t="s">
        <v>5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14</v>
      </c>
      <c r="O246" s="28">
        <f>COUNTIF(C239:C258,"제")</f>
        <v>0</v>
      </c>
      <c r="P246" s="28" t="s">
        <v>5</v>
      </c>
      <c r="Q246" s="28">
        <f>SUMIF(C239:C258,"제",E239:E258)</f>
        <v>0</v>
      </c>
      <c r="R246" s="28">
        <f>COUNTIF(X239:X258,"제국")</f>
        <v>0</v>
      </c>
      <c r="S246" s="28" t="s">
        <v>5</v>
      </c>
      <c r="T246" s="28">
        <f>SUMIF(X239:X258,"제국",E239:E258)</f>
        <v>0</v>
      </c>
      <c r="U246" s="28">
        <f t="shared" si="56"/>
        <v>0</v>
      </c>
      <c r="V246" s="28" t="s">
        <v>5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15</v>
      </c>
      <c r="O247" s="28">
        <f>COUNTIF(C239:C258,"유")</f>
        <v>0</v>
      </c>
      <c r="P247" s="28" t="s">
        <v>5</v>
      </c>
      <c r="Q247" s="28">
        <f>SUMIF(C239:C258,"유",E239:E258)</f>
        <v>0</v>
      </c>
      <c r="R247" s="28">
        <f>COUNTIF(X239:X258,"유국")</f>
        <v>0</v>
      </c>
      <c r="S247" s="28" t="s">
        <v>5</v>
      </c>
      <c r="T247" s="28">
        <f>SUMIF(X239:X258,"유국",E239:E258)</f>
        <v>0</v>
      </c>
      <c r="U247" s="28">
        <f t="shared" si="56"/>
        <v>0</v>
      </c>
      <c r="V247" s="28" t="s">
        <v>5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16</v>
      </c>
      <c r="O248" s="28">
        <f>COUNTIF(C239:C258,"과")</f>
        <v>0</v>
      </c>
      <c r="P248" s="28" t="s">
        <v>5</v>
      </c>
      <c r="Q248" s="28">
        <f>SUMIF(C239:C258,"과",E239:E258)</f>
        <v>0</v>
      </c>
      <c r="R248" s="28">
        <f>COUNTIF(X239:X258,"과국")</f>
        <v>0</v>
      </c>
      <c r="S248" s="28" t="s">
        <v>5</v>
      </c>
      <c r="T248" s="28">
        <f>SUMIF(X239:X258,"과국",E239:E258)</f>
        <v>0</v>
      </c>
      <c r="U248" s="28">
        <f t="shared" si="56"/>
        <v>0</v>
      </c>
      <c r="V248" s="28" t="s">
        <v>5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17</v>
      </c>
      <c r="O249" s="28">
        <f>COUNTIF(C239:C258,"묘")</f>
        <v>0</v>
      </c>
      <c r="P249" s="28" t="s">
        <v>5</v>
      </c>
      <c r="Q249" s="28">
        <f>SUMIF(C239:C258,"묘",E239:E258)</f>
        <v>0</v>
      </c>
      <c r="R249" s="28">
        <f>COUNTIF(X239:X258,"묘국")</f>
        <v>0</v>
      </c>
      <c r="S249" s="28" t="s">
        <v>5</v>
      </c>
      <c r="T249" s="28">
        <f>SUMIF(X239:X258,"묘국",E239:E258)</f>
        <v>0</v>
      </c>
      <c r="U249" s="28">
        <f t="shared" si="56"/>
        <v>0</v>
      </c>
      <c r="V249" s="28" t="s">
        <v>5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18</v>
      </c>
      <c r="O250" s="28">
        <f>COUNTIF(C239:C258,"목")</f>
        <v>0</v>
      </c>
      <c r="P250" s="28" t="s">
        <v>5</v>
      </c>
      <c r="Q250" s="28">
        <f>SUMIF(C239:C258,"목",E239:E258)</f>
        <v>0</v>
      </c>
      <c r="R250" s="28">
        <f>COUNTIF(X239:X258,"목국")</f>
        <v>0</v>
      </c>
      <c r="S250" s="28" t="s">
        <v>5</v>
      </c>
      <c r="T250" s="28">
        <f>SUMIF(X239:X258,"목국",E239:E258)</f>
        <v>0</v>
      </c>
      <c r="U250" s="28">
        <f t="shared" si="56"/>
        <v>0</v>
      </c>
      <c r="V250" s="28" t="s">
        <v>5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19</v>
      </c>
      <c r="O251" s="28">
        <f>COUNTIF(C239:C258,"잡")</f>
        <v>0</v>
      </c>
      <c r="P251" s="28" t="s">
        <v>5</v>
      </c>
      <c r="Q251" s="28">
        <f>SUMIF(C239:C258,"잡",E239:E258)</f>
        <v>0</v>
      </c>
      <c r="R251" s="28">
        <f>COUNTIF(X239:X258,"잡국")</f>
        <v>0</v>
      </c>
      <c r="S251" s="28" t="s">
        <v>5</v>
      </c>
      <c r="T251" s="28">
        <f>SUMIF(X239:X258,"잡국",E239:E258)</f>
        <v>0</v>
      </c>
      <c r="U251" s="28">
        <f t="shared" si="56"/>
        <v>0</v>
      </c>
      <c r="V251" s="28" t="s">
        <v>5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23</v>
      </c>
      <c r="O252" s="28">
        <f>COUNTIF(C239:C258,"학")</f>
        <v>0</v>
      </c>
      <c r="P252" s="28" t="s">
        <v>5</v>
      </c>
      <c r="Q252" s="28">
        <f>SUMIF(C239:C258,"학",E239:E258)</f>
        <v>0</v>
      </c>
      <c r="R252" s="28">
        <f>COUNTIF(X239:X258,"학국")</f>
        <v>0</v>
      </c>
      <c r="S252" s="28" t="s">
        <v>5</v>
      </c>
      <c r="T252" s="28">
        <f>SUMIF(X239:X258,"학국",E239:E258)</f>
        <v>0</v>
      </c>
      <c r="U252" s="28">
        <f t="shared" si="56"/>
        <v>0</v>
      </c>
      <c r="V252" s="28" t="s">
        <v>5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20</v>
      </c>
      <c r="O253" s="28">
        <f>COUNTIF(C239:C258,"수")</f>
        <v>0</v>
      </c>
      <c r="P253" s="28" t="s">
        <v>5</v>
      </c>
      <c r="Q253" s="28">
        <f>SUMIF(C239:C258,"수",E239:E258)</f>
        <v>0</v>
      </c>
      <c r="R253" s="28">
        <f>COUNTIF(X239:X258,"수국")</f>
        <v>0</v>
      </c>
      <c r="S253" s="28" t="s">
        <v>5</v>
      </c>
      <c r="T253" s="28">
        <f>SUMIF(X239:X258,"수국",E239:E258)</f>
        <v>0</v>
      </c>
      <c r="U253" s="28">
        <f t="shared" si="56"/>
        <v>0</v>
      </c>
      <c r="V253" s="28" t="s">
        <v>5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21</v>
      </c>
      <c r="O254" s="28">
        <f>COUNTIF(C239:C258,"장")</f>
        <v>0</v>
      </c>
      <c r="P254" s="28" t="s">
        <v>5</v>
      </c>
      <c r="Q254" s="28">
        <f>SUMIF(C239:C258,"장",E239:E258)</f>
        <v>0</v>
      </c>
      <c r="R254" s="28">
        <f>COUNTIF(X239:X258,"장국")</f>
        <v>0</v>
      </c>
      <c r="S254" s="28" t="s">
        <v>5</v>
      </c>
      <c r="T254" s="28">
        <f>SUMIF(X239:X258,"장국",E239:E258)</f>
        <v>0</v>
      </c>
      <c r="U254" s="28">
        <f t="shared" si="56"/>
        <v>0</v>
      </c>
      <c r="V254" s="28" t="s">
        <v>5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24</v>
      </c>
      <c r="O258" s="28">
        <f>COUNTIF(C239:C258," ")</f>
        <v>0</v>
      </c>
      <c r="P258" s="28" t="s">
        <v>5</v>
      </c>
      <c r="Q258" s="28">
        <f>SUMIF(C239:C258," ",E239:E258)</f>
        <v>0</v>
      </c>
      <c r="R258" s="28"/>
      <c r="S258" s="28" t="s">
        <v>5</v>
      </c>
      <c r="T258" s="28"/>
      <c r="U258" s="28">
        <f>O258</f>
        <v>0</v>
      </c>
      <c r="V258" s="28" t="s">
        <v>5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39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3</v>
      </c>
      <c r="O259" s="28">
        <f>SUM(O239:O258)</f>
        <v>0</v>
      </c>
      <c r="P259" s="28" t="s">
        <v>5</v>
      </c>
      <c r="Q259" s="28">
        <f>SUM(Q239:Q258)</f>
        <v>0</v>
      </c>
      <c r="R259" s="28">
        <f>SUM(R239:R258)</f>
        <v>0</v>
      </c>
      <c r="S259" s="28" t="s">
        <v>5</v>
      </c>
      <c r="T259" s="28">
        <f>SUM(T239:T258)</f>
        <v>0</v>
      </c>
      <c r="U259" s="28">
        <f>SUM(U239:U258)</f>
        <v>0</v>
      </c>
      <c r="V259" s="28" t="s">
        <v>5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7</v>
      </c>
      <c r="O260" s="28">
        <f>COUNTIF(C260:C279,"전")</f>
        <v>0</v>
      </c>
      <c r="P260" s="28" t="s">
        <v>5</v>
      </c>
      <c r="Q260" s="28">
        <f>SUMIF(C260:C279,"전",E260:E279)</f>
        <v>0</v>
      </c>
      <c r="R260" s="28">
        <f>COUNTIF(X260:X279,"전국")</f>
        <v>0</v>
      </c>
      <c r="S260" s="28" t="s">
        <v>5</v>
      </c>
      <c r="T260" s="28">
        <f>SUMIF(X260:X279,"전국",E260:E279)</f>
        <v>0</v>
      </c>
      <c r="U260" s="28">
        <f t="shared" ref="U260:U275" si="61">O260-R260</f>
        <v>0</v>
      </c>
      <c r="V260" s="28" t="s">
        <v>5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8</v>
      </c>
      <c r="O261" s="28">
        <f>COUNTIF(C260:C279,"답")</f>
        <v>0</v>
      </c>
      <c r="P261" s="28" t="s">
        <v>5</v>
      </c>
      <c r="Q261" s="28">
        <f>SUMIF(C260:C279,"답",E260:E279)</f>
        <v>0</v>
      </c>
      <c r="R261" s="28">
        <f>COUNTIF(X260:X279,"답국")</f>
        <v>0</v>
      </c>
      <c r="S261" s="28" t="s">
        <v>5</v>
      </c>
      <c r="T261" s="28">
        <f>SUMIF(X260:X279,"답국",E260:E279)</f>
        <v>0</v>
      </c>
      <c r="U261" s="28">
        <f t="shared" si="61"/>
        <v>0</v>
      </c>
      <c r="V261" s="28" t="s">
        <v>5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9</v>
      </c>
      <c r="O262" s="28">
        <f>COUNTIF(C260:C279,"임")</f>
        <v>0</v>
      </c>
      <c r="P262" s="28" t="s">
        <v>5</v>
      </c>
      <c r="Q262" s="28">
        <f>SUMIF(C260:C279,"임",E260:E279)</f>
        <v>0</v>
      </c>
      <c r="R262" s="28">
        <f>COUNTIF(X260:X279,"임국")</f>
        <v>0</v>
      </c>
      <c r="S262" s="28" t="s">
        <v>5</v>
      </c>
      <c r="T262" s="28">
        <f>SUMIF(X260:X279,"임국",E260:E279)</f>
        <v>0</v>
      </c>
      <c r="U262" s="28">
        <f t="shared" si="61"/>
        <v>0</v>
      </c>
      <c r="V262" s="28" t="s">
        <v>5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10</v>
      </c>
      <c r="O263" s="28">
        <f>COUNTIF(C260:C279,"대")</f>
        <v>0</v>
      </c>
      <c r="P263" s="28" t="s">
        <v>5</v>
      </c>
      <c r="Q263" s="28">
        <f>SUMIF(C260:C279,"대",E260:E279)</f>
        <v>0</v>
      </c>
      <c r="R263" s="28">
        <f>COUNTIF(X260:X279,"대국")</f>
        <v>0</v>
      </c>
      <c r="S263" s="28" t="s">
        <v>5</v>
      </c>
      <c r="T263" s="28">
        <f>SUMIF(X260:X279,"대국",E260:E279)</f>
        <v>0</v>
      </c>
      <c r="U263" s="28">
        <f t="shared" si="61"/>
        <v>0</v>
      </c>
      <c r="V263" s="28" t="s">
        <v>5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11</v>
      </c>
      <c r="O264" s="28">
        <f>COUNTIF(C260:C279,"도")</f>
        <v>0</v>
      </c>
      <c r="P264" s="28" t="s">
        <v>5</v>
      </c>
      <c r="Q264" s="28">
        <f>SUMIF(C260:C279,"도",E260:E279)</f>
        <v>0</v>
      </c>
      <c r="R264" s="28">
        <f>COUNTIF(X260:X279,"도국")</f>
        <v>0</v>
      </c>
      <c r="S264" s="28" t="s">
        <v>5</v>
      </c>
      <c r="T264" s="28">
        <f>SUMIF(X260:X279,"도국",E260:E279)</f>
        <v>0</v>
      </c>
      <c r="U264" s="28">
        <f t="shared" si="61"/>
        <v>0</v>
      </c>
      <c r="V264" s="28" t="s">
        <v>5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12</v>
      </c>
      <c r="O265" s="28">
        <f>COUNTIF(C260:C279,"천")</f>
        <v>0</v>
      </c>
      <c r="P265" s="28" t="s">
        <v>5</v>
      </c>
      <c r="Q265" s="28">
        <f>SUMIF(C260:C279,"천",E260:E279)</f>
        <v>0</v>
      </c>
      <c r="R265" s="28">
        <f>COUNTIF(X260:X279,"천국")</f>
        <v>0</v>
      </c>
      <c r="S265" s="28" t="s">
        <v>5</v>
      </c>
      <c r="T265" s="28">
        <f>SUMIF(X260:X279,"천국",E260:E279)</f>
        <v>0</v>
      </c>
      <c r="U265" s="28">
        <f t="shared" si="61"/>
        <v>0</v>
      </c>
      <c r="V265" s="28" t="s">
        <v>5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13</v>
      </c>
      <c r="O266" s="28">
        <f>COUNTIF(C260:C279,"구")</f>
        <v>0</v>
      </c>
      <c r="P266" s="28" t="s">
        <v>5</v>
      </c>
      <c r="Q266" s="28">
        <f>SUMIF(C260:C279,"구",E260:E279)</f>
        <v>0</v>
      </c>
      <c r="R266" s="28">
        <f>COUNTIF(X260:X279,"구국")</f>
        <v>0</v>
      </c>
      <c r="S266" s="28" t="s">
        <v>5</v>
      </c>
      <c r="T266" s="28">
        <f>SUMIF(X260:X279,"구국",E260:E279)</f>
        <v>0</v>
      </c>
      <c r="U266" s="28">
        <f t="shared" si="61"/>
        <v>0</v>
      </c>
      <c r="V266" s="28" t="s">
        <v>5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14</v>
      </c>
      <c r="O267" s="28">
        <f>COUNTIF(C260:C279,"제")</f>
        <v>0</v>
      </c>
      <c r="P267" s="28" t="s">
        <v>5</v>
      </c>
      <c r="Q267" s="28">
        <f>SUMIF(C260:C279,"제",E260:E279)</f>
        <v>0</v>
      </c>
      <c r="R267" s="28">
        <f>COUNTIF(X260:X279,"제국")</f>
        <v>0</v>
      </c>
      <c r="S267" s="28" t="s">
        <v>5</v>
      </c>
      <c r="T267" s="28">
        <f>SUMIF(X260:X279,"제국",E260:E279)</f>
        <v>0</v>
      </c>
      <c r="U267" s="28">
        <f t="shared" si="61"/>
        <v>0</v>
      </c>
      <c r="V267" s="28" t="s">
        <v>5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15</v>
      </c>
      <c r="O268" s="28">
        <f>COUNTIF(C260:C279,"유")</f>
        <v>0</v>
      </c>
      <c r="P268" s="28" t="s">
        <v>5</v>
      </c>
      <c r="Q268" s="28">
        <f>SUMIF(C260:C279,"유",E260:E279)</f>
        <v>0</v>
      </c>
      <c r="R268" s="28">
        <f>COUNTIF(X260:X279,"유국")</f>
        <v>0</v>
      </c>
      <c r="S268" s="28" t="s">
        <v>5</v>
      </c>
      <c r="T268" s="28">
        <f>SUMIF(X260:X279,"유국",E260:E279)</f>
        <v>0</v>
      </c>
      <c r="U268" s="28">
        <f t="shared" si="61"/>
        <v>0</v>
      </c>
      <c r="V268" s="28" t="s">
        <v>5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16</v>
      </c>
      <c r="O269" s="28">
        <f>COUNTIF(C260:C279,"과")</f>
        <v>0</v>
      </c>
      <c r="P269" s="28" t="s">
        <v>5</v>
      </c>
      <c r="Q269" s="28">
        <f>SUMIF(C260:C279,"과",E260:E279)</f>
        <v>0</v>
      </c>
      <c r="R269" s="28">
        <f>COUNTIF(X260:X279,"과국")</f>
        <v>0</v>
      </c>
      <c r="S269" s="28" t="s">
        <v>5</v>
      </c>
      <c r="T269" s="28">
        <f>SUMIF(X260:X279,"과국",E260:E279)</f>
        <v>0</v>
      </c>
      <c r="U269" s="28">
        <f t="shared" si="61"/>
        <v>0</v>
      </c>
      <c r="V269" s="28" t="s">
        <v>5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17</v>
      </c>
      <c r="O270" s="28">
        <f>COUNTIF(C260:C279,"묘")</f>
        <v>0</v>
      </c>
      <c r="P270" s="28" t="s">
        <v>5</v>
      </c>
      <c r="Q270" s="28">
        <f>SUMIF(C260:C279,"묘",E260:E279)</f>
        <v>0</v>
      </c>
      <c r="R270" s="28">
        <f>COUNTIF(X260:X279,"묘국")</f>
        <v>0</v>
      </c>
      <c r="S270" s="28" t="s">
        <v>5</v>
      </c>
      <c r="T270" s="28">
        <f>SUMIF(X260:X279,"묘국",E260:E279)</f>
        <v>0</v>
      </c>
      <c r="U270" s="28">
        <f t="shared" si="61"/>
        <v>0</v>
      </c>
      <c r="V270" s="28" t="s">
        <v>5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18</v>
      </c>
      <c r="O271" s="28">
        <f>COUNTIF(C260:C279,"목")</f>
        <v>0</v>
      </c>
      <c r="P271" s="28" t="s">
        <v>5</v>
      </c>
      <c r="Q271" s="28">
        <f>SUMIF(C260:C279,"목",E260:E279)</f>
        <v>0</v>
      </c>
      <c r="R271" s="28">
        <f>COUNTIF(X260:X279,"목국")</f>
        <v>0</v>
      </c>
      <c r="S271" s="28" t="s">
        <v>5</v>
      </c>
      <c r="T271" s="28">
        <f>SUMIF(X260:X279,"목국",E260:E279)</f>
        <v>0</v>
      </c>
      <c r="U271" s="28">
        <f t="shared" si="61"/>
        <v>0</v>
      </c>
      <c r="V271" s="28" t="s">
        <v>5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19</v>
      </c>
      <c r="O272" s="28">
        <f>COUNTIF(C260:C279,"잡")</f>
        <v>0</v>
      </c>
      <c r="P272" s="28" t="s">
        <v>5</v>
      </c>
      <c r="Q272" s="28">
        <f>SUMIF(C260:C279,"잡",E260:E279)</f>
        <v>0</v>
      </c>
      <c r="R272" s="28">
        <f>COUNTIF(X260:X279,"잡국")</f>
        <v>0</v>
      </c>
      <c r="S272" s="28" t="s">
        <v>5</v>
      </c>
      <c r="T272" s="28">
        <f>SUMIF(X260:X279,"잡국",E260:E279)</f>
        <v>0</v>
      </c>
      <c r="U272" s="28">
        <f t="shared" si="61"/>
        <v>0</v>
      </c>
      <c r="V272" s="28" t="s">
        <v>5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23</v>
      </c>
      <c r="O273" s="28">
        <f>COUNTIF(C260:C279,"학")</f>
        <v>0</v>
      </c>
      <c r="P273" s="28" t="s">
        <v>5</v>
      </c>
      <c r="Q273" s="28">
        <f>SUMIF(C260:C279,"학",E260:E279)</f>
        <v>0</v>
      </c>
      <c r="R273" s="28">
        <f>COUNTIF(X260:X279,"학국")</f>
        <v>0</v>
      </c>
      <c r="S273" s="28" t="s">
        <v>5</v>
      </c>
      <c r="T273" s="28">
        <f>SUMIF(X260:X279,"학국",E260:E279)</f>
        <v>0</v>
      </c>
      <c r="U273" s="28">
        <f t="shared" si="61"/>
        <v>0</v>
      </c>
      <c r="V273" s="28" t="s">
        <v>5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20</v>
      </c>
      <c r="O274" s="28">
        <f>COUNTIF(C260:C279,"수")</f>
        <v>0</v>
      </c>
      <c r="P274" s="28" t="s">
        <v>5</v>
      </c>
      <c r="Q274" s="28">
        <f>SUMIF(C260:C279,"수",E260:E279)</f>
        <v>0</v>
      </c>
      <c r="R274" s="28">
        <f>COUNTIF(X260:X279,"수국")</f>
        <v>0</v>
      </c>
      <c r="S274" s="28" t="s">
        <v>5</v>
      </c>
      <c r="T274" s="28">
        <f>SUMIF(X260:X279,"수국",E260:E279)</f>
        <v>0</v>
      </c>
      <c r="U274" s="28">
        <f t="shared" si="61"/>
        <v>0</v>
      </c>
      <c r="V274" s="28" t="s">
        <v>5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21</v>
      </c>
      <c r="O275" s="28">
        <f>COUNTIF(C260:C279,"장")</f>
        <v>0</v>
      </c>
      <c r="P275" s="28" t="s">
        <v>5</v>
      </c>
      <c r="Q275" s="28">
        <f>SUMIF(C260:C279,"장",E260:E279)</f>
        <v>0</v>
      </c>
      <c r="R275" s="28">
        <f>COUNTIF(X260:X279,"장국")</f>
        <v>0</v>
      </c>
      <c r="S275" s="28" t="s">
        <v>5</v>
      </c>
      <c r="T275" s="28">
        <f>SUMIF(X260:X279,"장국",E260:E279)</f>
        <v>0</v>
      </c>
      <c r="U275" s="28">
        <f t="shared" si="61"/>
        <v>0</v>
      </c>
      <c r="V275" s="28" t="s">
        <v>5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24</v>
      </c>
      <c r="O279" s="28">
        <f>COUNTIF(C260:C279," ")</f>
        <v>0</v>
      </c>
      <c r="P279" s="28" t="s">
        <v>5</v>
      </c>
      <c r="Q279" s="28">
        <f>SUMIF(C260:C279," ",E260:E279)</f>
        <v>0</v>
      </c>
      <c r="R279" s="28"/>
      <c r="S279" s="28" t="s">
        <v>5</v>
      </c>
      <c r="T279" s="28"/>
      <c r="U279" s="28">
        <f>O279</f>
        <v>0</v>
      </c>
      <c r="V279" s="28" t="s">
        <v>5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39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3</v>
      </c>
      <c r="O280" s="28">
        <f>SUM(O260:O279)</f>
        <v>0</v>
      </c>
      <c r="P280" s="28" t="s">
        <v>5</v>
      </c>
      <c r="Q280" s="28">
        <f>SUM(Q260:Q279)</f>
        <v>0</v>
      </c>
      <c r="R280" s="28">
        <f>SUM(R260:R279)</f>
        <v>0</v>
      </c>
      <c r="S280" s="28" t="s">
        <v>5</v>
      </c>
      <c r="T280" s="28">
        <f>SUM(T260:T279)</f>
        <v>0</v>
      </c>
      <c r="U280" s="28">
        <f>SUM(U260:U279)</f>
        <v>0</v>
      </c>
      <c r="V280" s="28" t="s">
        <v>5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7</v>
      </c>
      <c r="O281" s="28">
        <f>COUNTIF(C281:C300,"전")</f>
        <v>0</v>
      </c>
      <c r="P281" s="28" t="s">
        <v>5</v>
      </c>
      <c r="Q281" s="28">
        <f>SUMIF(C281:C300,"전",E281:E300)</f>
        <v>0</v>
      </c>
      <c r="R281" s="28">
        <f>COUNTIF(X281:X300,"전국")</f>
        <v>0</v>
      </c>
      <c r="S281" s="28" t="s">
        <v>5</v>
      </c>
      <c r="T281" s="28">
        <f>SUMIF(X281:X300,"전국",E281:E300)</f>
        <v>0</v>
      </c>
      <c r="U281" s="28">
        <f t="shared" ref="U281:U296" si="67">O281-R281</f>
        <v>0</v>
      </c>
      <c r="V281" s="28" t="s">
        <v>5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8</v>
      </c>
      <c r="O282" s="28">
        <f>COUNTIF(C281:C300,"답")</f>
        <v>0</v>
      </c>
      <c r="P282" s="28" t="s">
        <v>5</v>
      </c>
      <c r="Q282" s="28">
        <f>SUMIF(C281:C300,"답",E281:E300)</f>
        <v>0</v>
      </c>
      <c r="R282" s="28">
        <f>COUNTIF(X281:X300,"답국")</f>
        <v>0</v>
      </c>
      <c r="S282" s="28" t="s">
        <v>5</v>
      </c>
      <c r="T282" s="28">
        <f>SUMIF(X281:X300,"답국",E281:E300)</f>
        <v>0</v>
      </c>
      <c r="U282" s="28">
        <f t="shared" si="67"/>
        <v>0</v>
      </c>
      <c r="V282" s="28" t="s">
        <v>5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9</v>
      </c>
      <c r="O283" s="28">
        <f>COUNTIF(C281:C300,"임")</f>
        <v>0</v>
      </c>
      <c r="P283" s="28" t="s">
        <v>5</v>
      </c>
      <c r="Q283" s="28">
        <f>SUMIF(C281:C300,"임",E281:E300)</f>
        <v>0</v>
      </c>
      <c r="R283" s="28">
        <f>COUNTIF(X281:X300,"임국")</f>
        <v>0</v>
      </c>
      <c r="S283" s="28" t="s">
        <v>5</v>
      </c>
      <c r="T283" s="28">
        <f>SUMIF(X281:X300,"임국",E281:E300)</f>
        <v>0</v>
      </c>
      <c r="U283" s="28">
        <f t="shared" si="67"/>
        <v>0</v>
      </c>
      <c r="V283" s="28" t="s">
        <v>5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10</v>
      </c>
      <c r="O284" s="28">
        <f>COUNTIF(C281:C300,"대")</f>
        <v>0</v>
      </c>
      <c r="P284" s="28" t="s">
        <v>5</v>
      </c>
      <c r="Q284" s="28">
        <f>SUMIF(C281:C300,"대",E281:E300)</f>
        <v>0</v>
      </c>
      <c r="R284" s="28">
        <f>COUNTIF(X281:X300,"대국")</f>
        <v>0</v>
      </c>
      <c r="S284" s="28" t="s">
        <v>5</v>
      </c>
      <c r="T284" s="28">
        <f>SUMIF(X281:X300,"대국",E281:E300)</f>
        <v>0</v>
      </c>
      <c r="U284" s="28">
        <f t="shared" si="67"/>
        <v>0</v>
      </c>
      <c r="V284" s="28" t="s">
        <v>5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11</v>
      </c>
      <c r="O285" s="28">
        <f>COUNTIF(C281:C300,"도")</f>
        <v>0</v>
      </c>
      <c r="P285" s="28" t="s">
        <v>5</v>
      </c>
      <c r="Q285" s="28">
        <f>SUMIF(C281:C300,"도",E281:E300)</f>
        <v>0</v>
      </c>
      <c r="R285" s="28">
        <f>COUNTIF(X281:X300,"도국")</f>
        <v>0</v>
      </c>
      <c r="S285" s="28" t="s">
        <v>5</v>
      </c>
      <c r="T285" s="28">
        <f>SUMIF(X281:X300,"도국",E281:E300)</f>
        <v>0</v>
      </c>
      <c r="U285" s="28">
        <f t="shared" si="67"/>
        <v>0</v>
      </c>
      <c r="V285" s="28" t="s">
        <v>5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12</v>
      </c>
      <c r="O286" s="28">
        <f>COUNTIF(C281:C300,"천")</f>
        <v>0</v>
      </c>
      <c r="P286" s="28" t="s">
        <v>5</v>
      </c>
      <c r="Q286" s="28">
        <f>SUMIF(C281:C300,"천",E281:E300)</f>
        <v>0</v>
      </c>
      <c r="R286" s="28">
        <f>COUNTIF(X281:X300,"천국")</f>
        <v>0</v>
      </c>
      <c r="S286" s="28" t="s">
        <v>5</v>
      </c>
      <c r="T286" s="28">
        <f>SUMIF(X281:X300,"천국",E281:E300)</f>
        <v>0</v>
      </c>
      <c r="U286" s="28">
        <f t="shared" si="67"/>
        <v>0</v>
      </c>
      <c r="V286" s="28" t="s">
        <v>5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13</v>
      </c>
      <c r="O287" s="28">
        <f>COUNTIF(C281:C300,"구")</f>
        <v>0</v>
      </c>
      <c r="P287" s="28" t="s">
        <v>5</v>
      </c>
      <c r="Q287" s="28">
        <f>SUMIF(C281:C300,"구",E281:E300)</f>
        <v>0</v>
      </c>
      <c r="R287" s="28">
        <f>COUNTIF(X281:X300,"구국")</f>
        <v>0</v>
      </c>
      <c r="S287" s="28" t="s">
        <v>5</v>
      </c>
      <c r="T287" s="28">
        <f>SUMIF(X281:X300,"구국",E281:E300)</f>
        <v>0</v>
      </c>
      <c r="U287" s="28">
        <f t="shared" si="67"/>
        <v>0</v>
      </c>
      <c r="V287" s="28" t="s">
        <v>5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14</v>
      </c>
      <c r="O288" s="28">
        <f>COUNTIF(C281:C300,"제")</f>
        <v>0</v>
      </c>
      <c r="P288" s="28" t="s">
        <v>5</v>
      </c>
      <c r="Q288" s="28">
        <f>SUMIF(C281:C300,"제",E281:E300)</f>
        <v>0</v>
      </c>
      <c r="R288" s="28">
        <f>COUNTIF(X281:X300,"제국")</f>
        <v>0</v>
      </c>
      <c r="S288" s="28" t="s">
        <v>5</v>
      </c>
      <c r="T288" s="28">
        <f>SUMIF(X281:X300,"제국",E281:E300)</f>
        <v>0</v>
      </c>
      <c r="U288" s="28">
        <f t="shared" si="67"/>
        <v>0</v>
      </c>
      <c r="V288" s="28" t="s">
        <v>5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15</v>
      </c>
      <c r="O289" s="28">
        <f>COUNTIF(C281:C300,"유")</f>
        <v>0</v>
      </c>
      <c r="P289" s="28" t="s">
        <v>5</v>
      </c>
      <c r="Q289" s="28">
        <f>SUMIF(C281:C300,"유",E281:E300)</f>
        <v>0</v>
      </c>
      <c r="R289" s="28">
        <f>COUNTIF(X281:X300,"유국")</f>
        <v>0</v>
      </c>
      <c r="S289" s="28" t="s">
        <v>5</v>
      </c>
      <c r="T289" s="28">
        <f>SUMIF(X281:X300,"유국",E281:E300)</f>
        <v>0</v>
      </c>
      <c r="U289" s="28">
        <f t="shared" si="67"/>
        <v>0</v>
      </c>
      <c r="V289" s="28" t="s">
        <v>5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16</v>
      </c>
      <c r="O290" s="28">
        <f>COUNTIF(C281:C300,"과")</f>
        <v>0</v>
      </c>
      <c r="P290" s="28" t="s">
        <v>5</v>
      </c>
      <c r="Q290" s="28">
        <f>SUMIF(C281:C300,"과",E281:E300)</f>
        <v>0</v>
      </c>
      <c r="R290" s="28">
        <f>COUNTIF(X281:X300,"과국")</f>
        <v>0</v>
      </c>
      <c r="S290" s="28" t="s">
        <v>5</v>
      </c>
      <c r="T290" s="28">
        <f>SUMIF(X281:X300,"과국",E281:E300)</f>
        <v>0</v>
      </c>
      <c r="U290" s="28">
        <f t="shared" si="67"/>
        <v>0</v>
      </c>
      <c r="V290" s="28" t="s">
        <v>5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17</v>
      </c>
      <c r="O291" s="28">
        <f>COUNTIF(C281:C300,"묘")</f>
        <v>0</v>
      </c>
      <c r="P291" s="28" t="s">
        <v>5</v>
      </c>
      <c r="Q291" s="28">
        <f>SUMIF(C281:C300,"묘",E281:E300)</f>
        <v>0</v>
      </c>
      <c r="R291" s="28">
        <f>COUNTIF(X281:X300,"묘국")</f>
        <v>0</v>
      </c>
      <c r="S291" s="28" t="s">
        <v>5</v>
      </c>
      <c r="T291" s="28">
        <f>SUMIF(X281:X300,"묘국",E281:E300)</f>
        <v>0</v>
      </c>
      <c r="U291" s="28">
        <f t="shared" si="67"/>
        <v>0</v>
      </c>
      <c r="V291" s="28" t="s">
        <v>5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18</v>
      </c>
      <c r="O292" s="28">
        <f>COUNTIF(C281:C300,"목")</f>
        <v>0</v>
      </c>
      <c r="P292" s="28" t="s">
        <v>5</v>
      </c>
      <c r="Q292" s="28">
        <f>SUMIF(C281:C300,"목",E281:E300)</f>
        <v>0</v>
      </c>
      <c r="R292" s="28">
        <f>COUNTIF(X281:X300,"목국")</f>
        <v>0</v>
      </c>
      <c r="S292" s="28" t="s">
        <v>5</v>
      </c>
      <c r="T292" s="28">
        <f>SUMIF(X281:X300,"목국",E281:E300)</f>
        <v>0</v>
      </c>
      <c r="U292" s="28">
        <f t="shared" si="67"/>
        <v>0</v>
      </c>
      <c r="V292" s="28" t="s">
        <v>5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19</v>
      </c>
      <c r="O293" s="28">
        <f>COUNTIF(C281:C300,"잡")</f>
        <v>0</v>
      </c>
      <c r="P293" s="28" t="s">
        <v>5</v>
      </c>
      <c r="Q293" s="28">
        <f>SUMIF(C281:C300,"잡",E281:E300)</f>
        <v>0</v>
      </c>
      <c r="R293" s="28">
        <f>COUNTIF(X281:X300,"잡국")</f>
        <v>0</v>
      </c>
      <c r="S293" s="28" t="s">
        <v>5</v>
      </c>
      <c r="T293" s="28">
        <f>SUMIF(X281:X300,"잡국",E281:E300)</f>
        <v>0</v>
      </c>
      <c r="U293" s="28">
        <f t="shared" si="67"/>
        <v>0</v>
      </c>
      <c r="V293" s="28" t="s">
        <v>5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23</v>
      </c>
      <c r="O294" s="28">
        <f>COUNTIF(C281:C300,"학")</f>
        <v>0</v>
      </c>
      <c r="P294" s="28" t="s">
        <v>5</v>
      </c>
      <c r="Q294" s="28">
        <f>SUMIF(C281:C300,"학",E281:E300)</f>
        <v>0</v>
      </c>
      <c r="R294" s="28">
        <f>COUNTIF(X281:X300,"학국")</f>
        <v>0</v>
      </c>
      <c r="S294" s="28" t="s">
        <v>5</v>
      </c>
      <c r="T294" s="28">
        <f>SUMIF(X281:X300,"학국",E281:E300)</f>
        <v>0</v>
      </c>
      <c r="U294" s="28">
        <f t="shared" si="67"/>
        <v>0</v>
      </c>
      <c r="V294" s="28" t="s">
        <v>5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20</v>
      </c>
      <c r="O295" s="28">
        <f>COUNTIF(C281:C300,"수")</f>
        <v>0</v>
      </c>
      <c r="P295" s="28" t="s">
        <v>5</v>
      </c>
      <c r="Q295" s="28">
        <f>SUMIF(C281:C300,"수",E281:E300)</f>
        <v>0</v>
      </c>
      <c r="R295" s="28">
        <f>COUNTIF(X281:X300,"수국")</f>
        <v>0</v>
      </c>
      <c r="S295" s="28" t="s">
        <v>5</v>
      </c>
      <c r="T295" s="28">
        <f>SUMIF(X281:X300,"수국",E281:E300)</f>
        <v>0</v>
      </c>
      <c r="U295" s="28">
        <f t="shared" si="67"/>
        <v>0</v>
      </c>
      <c r="V295" s="28" t="s">
        <v>5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21</v>
      </c>
      <c r="O296" s="28">
        <f>COUNTIF(C281:C300,"장")</f>
        <v>0</v>
      </c>
      <c r="P296" s="28" t="s">
        <v>5</v>
      </c>
      <c r="Q296" s="28">
        <f>SUMIF(C281:C300,"장",E281:E300)</f>
        <v>0</v>
      </c>
      <c r="R296" s="28">
        <f>COUNTIF(X281:X300,"장국")</f>
        <v>0</v>
      </c>
      <c r="S296" s="28" t="s">
        <v>5</v>
      </c>
      <c r="T296" s="28">
        <f>SUMIF(X281:X300,"장국",E281:E300)</f>
        <v>0</v>
      </c>
      <c r="U296" s="28">
        <f t="shared" si="67"/>
        <v>0</v>
      </c>
      <c r="V296" s="28" t="s">
        <v>5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24</v>
      </c>
      <c r="O300" s="28">
        <f>COUNTIF(C281:C300," ")</f>
        <v>0</v>
      </c>
      <c r="P300" s="28" t="s">
        <v>5</v>
      </c>
      <c r="Q300" s="28">
        <f>SUMIF(C281:C300," ",E281:E300)</f>
        <v>0</v>
      </c>
      <c r="R300" s="28"/>
      <c r="S300" s="28" t="s">
        <v>5</v>
      </c>
      <c r="T300" s="28"/>
      <c r="U300" s="28">
        <f>O300</f>
        <v>0</v>
      </c>
      <c r="V300" s="28" t="s">
        <v>5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39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3</v>
      </c>
      <c r="O301" s="28">
        <f>SUM(O281:O300)</f>
        <v>0</v>
      </c>
      <c r="P301" s="28" t="s">
        <v>5</v>
      </c>
      <c r="Q301" s="28">
        <f>SUM(Q281:Q300)</f>
        <v>0</v>
      </c>
      <c r="R301" s="28">
        <f>SUM(R281:R300)</f>
        <v>0</v>
      </c>
      <c r="S301" s="28" t="s">
        <v>5</v>
      </c>
      <c r="T301" s="28">
        <f>SUM(T281:T300)</f>
        <v>0</v>
      </c>
      <c r="U301" s="28">
        <f>SUM(U281:U300)</f>
        <v>0</v>
      </c>
      <c r="V301" s="28" t="s">
        <v>5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7</v>
      </c>
      <c r="O302" s="28">
        <f>COUNTIF(C302:C321,"전")</f>
        <v>0</v>
      </c>
      <c r="P302" s="28" t="s">
        <v>5</v>
      </c>
      <c r="Q302" s="28">
        <f>SUMIF(C302:C321,"전",E302:E321)</f>
        <v>0</v>
      </c>
      <c r="R302" s="28">
        <f>COUNTIF(X302:X321,"전국")</f>
        <v>0</v>
      </c>
      <c r="S302" s="28" t="s">
        <v>5</v>
      </c>
      <c r="T302" s="28">
        <f>SUMIF(X302:X321,"전국",E302:E321)</f>
        <v>0</v>
      </c>
      <c r="U302" s="28">
        <f t="shared" ref="U302:U317" si="71">O302-R302</f>
        <v>0</v>
      </c>
      <c r="V302" s="28" t="s">
        <v>5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8</v>
      </c>
      <c r="O303" s="28">
        <f>COUNTIF(C302:C321,"답")</f>
        <v>0</v>
      </c>
      <c r="P303" s="28" t="s">
        <v>5</v>
      </c>
      <c r="Q303" s="28">
        <f>SUMIF(C302:C321,"답",E302:E321)</f>
        <v>0</v>
      </c>
      <c r="R303" s="28">
        <f>COUNTIF(X302:X321,"답국")</f>
        <v>0</v>
      </c>
      <c r="S303" s="28" t="s">
        <v>5</v>
      </c>
      <c r="T303" s="28">
        <f>SUMIF(X302:X321,"답국",E302:E321)</f>
        <v>0</v>
      </c>
      <c r="U303" s="28">
        <f t="shared" si="71"/>
        <v>0</v>
      </c>
      <c r="V303" s="28" t="s">
        <v>5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9</v>
      </c>
      <c r="O304" s="28">
        <f>COUNTIF(C302:C321,"임")</f>
        <v>0</v>
      </c>
      <c r="P304" s="28" t="s">
        <v>5</v>
      </c>
      <c r="Q304" s="28">
        <f>SUMIF(C302:C321,"임",E302:E321)</f>
        <v>0</v>
      </c>
      <c r="R304" s="28">
        <f>COUNTIF(X302:X321,"임국")</f>
        <v>0</v>
      </c>
      <c r="S304" s="28" t="s">
        <v>5</v>
      </c>
      <c r="T304" s="28">
        <f>SUMIF(X302:X321,"임국",E302:E321)</f>
        <v>0</v>
      </c>
      <c r="U304" s="28">
        <f t="shared" si="71"/>
        <v>0</v>
      </c>
      <c r="V304" s="28" t="s">
        <v>5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10</v>
      </c>
      <c r="O305" s="28">
        <f>COUNTIF(C302:C321,"대")</f>
        <v>0</v>
      </c>
      <c r="P305" s="28" t="s">
        <v>5</v>
      </c>
      <c r="Q305" s="28">
        <f>SUMIF(C302:C321,"대",E302:E321)</f>
        <v>0</v>
      </c>
      <c r="R305" s="28">
        <f>COUNTIF(X302:X321,"대국")</f>
        <v>0</v>
      </c>
      <c r="S305" s="28" t="s">
        <v>5</v>
      </c>
      <c r="T305" s="28">
        <f>SUMIF(X302:X321,"대국",E302:E321)</f>
        <v>0</v>
      </c>
      <c r="U305" s="28">
        <f t="shared" si="71"/>
        <v>0</v>
      </c>
      <c r="V305" s="28" t="s">
        <v>5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11</v>
      </c>
      <c r="O306" s="28">
        <f>COUNTIF(C302:C321,"도")</f>
        <v>0</v>
      </c>
      <c r="P306" s="28" t="s">
        <v>5</v>
      </c>
      <c r="Q306" s="28">
        <f>SUMIF(C302:C321,"도",E302:E321)</f>
        <v>0</v>
      </c>
      <c r="R306" s="28">
        <f>COUNTIF(X302:X321,"도국")</f>
        <v>0</v>
      </c>
      <c r="S306" s="28" t="s">
        <v>5</v>
      </c>
      <c r="T306" s="28">
        <f>SUMIF(X302:X321,"도국",E302:E321)</f>
        <v>0</v>
      </c>
      <c r="U306" s="28">
        <f t="shared" si="71"/>
        <v>0</v>
      </c>
      <c r="V306" s="28" t="s">
        <v>5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12</v>
      </c>
      <c r="O307" s="28">
        <f>COUNTIF(C302:C321,"천")</f>
        <v>0</v>
      </c>
      <c r="P307" s="28" t="s">
        <v>5</v>
      </c>
      <c r="Q307" s="28">
        <f>SUMIF(C302:C321,"천",E302:E321)</f>
        <v>0</v>
      </c>
      <c r="R307" s="28">
        <f>COUNTIF(X302:X321,"천국")</f>
        <v>0</v>
      </c>
      <c r="S307" s="28" t="s">
        <v>5</v>
      </c>
      <c r="T307" s="28">
        <f>SUMIF(X302:X321,"천국",E302:E321)</f>
        <v>0</v>
      </c>
      <c r="U307" s="28">
        <f t="shared" si="71"/>
        <v>0</v>
      </c>
      <c r="V307" s="28" t="s">
        <v>5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13</v>
      </c>
      <c r="O308" s="28">
        <f>COUNTIF(C302:C321,"구")</f>
        <v>0</v>
      </c>
      <c r="P308" s="28" t="s">
        <v>5</v>
      </c>
      <c r="Q308" s="28">
        <f>SUMIF(C302:C321,"구",E302:E321)</f>
        <v>0</v>
      </c>
      <c r="R308" s="28">
        <f>COUNTIF(X302:X321,"구국")</f>
        <v>0</v>
      </c>
      <c r="S308" s="28" t="s">
        <v>5</v>
      </c>
      <c r="T308" s="28">
        <f>SUMIF(X302:X321,"구국",E302:E321)</f>
        <v>0</v>
      </c>
      <c r="U308" s="28">
        <f t="shared" si="71"/>
        <v>0</v>
      </c>
      <c r="V308" s="28" t="s">
        <v>5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14</v>
      </c>
      <c r="O309" s="28">
        <f>COUNTIF(C302:C321,"제")</f>
        <v>0</v>
      </c>
      <c r="P309" s="28" t="s">
        <v>5</v>
      </c>
      <c r="Q309" s="28">
        <f>SUMIF(C302:C321,"제",E302:E321)</f>
        <v>0</v>
      </c>
      <c r="R309" s="28">
        <f>COUNTIF(X302:X321,"제국")</f>
        <v>0</v>
      </c>
      <c r="S309" s="28" t="s">
        <v>5</v>
      </c>
      <c r="T309" s="28">
        <f>SUMIF(X302:X321,"제국",E302:E321)</f>
        <v>0</v>
      </c>
      <c r="U309" s="28">
        <f t="shared" si="71"/>
        <v>0</v>
      </c>
      <c r="V309" s="28" t="s">
        <v>5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15</v>
      </c>
      <c r="O310" s="28">
        <f>COUNTIF(C302:C321,"유")</f>
        <v>0</v>
      </c>
      <c r="P310" s="28" t="s">
        <v>5</v>
      </c>
      <c r="Q310" s="28">
        <f>SUMIF(C302:C321,"유",E302:E321)</f>
        <v>0</v>
      </c>
      <c r="R310" s="28">
        <f>COUNTIF(X302:X321,"유국")</f>
        <v>0</v>
      </c>
      <c r="S310" s="28" t="s">
        <v>5</v>
      </c>
      <c r="T310" s="28">
        <f>SUMIF(X302:X321,"유국",E302:E321)</f>
        <v>0</v>
      </c>
      <c r="U310" s="28">
        <f t="shared" si="71"/>
        <v>0</v>
      </c>
      <c r="V310" s="28" t="s">
        <v>5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16</v>
      </c>
      <c r="O311" s="28">
        <f>COUNTIF(C302:C321,"과")</f>
        <v>0</v>
      </c>
      <c r="P311" s="28" t="s">
        <v>5</v>
      </c>
      <c r="Q311" s="28">
        <f>SUMIF(C302:C321,"과",E302:E321)</f>
        <v>0</v>
      </c>
      <c r="R311" s="28">
        <f>COUNTIF(X302:X321,"과국")</f>
        <v>0</v>
      </c>
      <c r="S311" s="28" t="s">
        <v>5</v>
      </c>
      <c r="T311" s="28">
        <f>SUMIF(X302:X321,"과국",E302:E321)</f>
        <v>0</v>
      </c>
      <c r="U311" s="28">
        <f t="shared" si="71"/>
        <v>0</v>
      </c>
      <c r="V311" s="28" t="s">
        <v>5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17</v>
      </c>
      <c r="O312" s="28">
        <f>COUNTIF(C302:C321,"묘")</f>
        <v>0</v>
      </c>
      <c r="P312" s="28" t="s">
        <v>5</v>
      </c>
      <c r="Q312" s="28">
        <f>SUMIF(C302:C321,"묘",E302:E321)</f>
        <v>0</v>
      </c>
      <c r="R312" s="28">
        <f>COUNTIF(X302:X321,"묘국")</f>
        <v>0</v>
      </c>
      <c r="S312" s="28" t="s">
        <v>5</v>
      </c>
      <c r="T312" s="28">
        <f>SUMIF(X302:X321,"묘국",E302:E321)</f>
        <v>0</v>
      </c>
      <c r="U312" s="28">
        <f t="shared" si="71"/>
        <v>0</v>
      </c>
      <c r="V312" s="28" t="s">
        <v>5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18</v>
      </c>
      <c r="O313" s="28">
        <f>COUNTIF(C302:C321,"목")</f>
        <v>0</v>
      </c>
      <c r="P313" s="28" t="s">
        <v>5</v>
      </c>
      <c r="Q313" s="28">
        <f>SUMIF(C302:C321,"목",E302:E321)</f>
        <v>0</v>
      </c>
      <c r="R313" s="28">
        <f>COUNTIF(X302:X321,"목국")</f>
        <v>0</v>
      </c>
      <c r="S313" s="28" t="s">
        <v>5</v>
      </c>
      <c r="T313" s="28">
        <f>SUMIF(X302:X321,"목국",E302:E321)</f>
        <v>0</v>
      </c>
      <c r="U313" s="28">
        <f t="shared" si="71"/>
        <v>0</v>
      </c>
      <c r="V313" s="28" t="s">
        <v>5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19</v>
      </c>
      <c r="O314" s="28">
        <f>COUNTIF(C302:C321,"잡")</f>
        <v>0</v>
      </c>
      <c r="P314" s="28" t="s">
        <v>5</v>
      </c>
      <c r="Q314" s="28">
        <f>SUMIF(C302:C321,"잡",E302:E321)</f>
        <v>0</v>
      </c>
      <c r="R314" s="28">
        <f>COUNTIF(X302:X321,"잡국")</f>
        <v>0</v>
      </c>
      <c r="S314" s="28" t="s">
        <v>5</v>
      </c>
      <c r="T314" s="28">
        <f>SUMIF(X302:X321,"잡국",E302:E321)</f>
        <v>0</v>
      </c>
      <c r="U314" s="28">
        <f t="shared" si="71"/>
        <v>0</v>
      </c>
      <c r="V314" s="28" t="s">
        <v>5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23</v>
      </c>
      <c r="O315" s="28">
        <f>COUNTIF(C302:C321,"학")</f>
        <v>0</v>
      </c>
      <c r="P315" s="28" t="s">
        <v>5</v>
      </c>
      <c r="Q315" s="28">
        <f>SUMIF(C302:C321,"학",E302:E321)</f>
        <v>0</v>
      </c>
      <c r="R315" s="28">
        <f>COUNTIF(X302:X321,"학국")</f>
        <v>0</v>
      </c>
      <c r="S315" s="28" t="s">
        <v>5</v>
      </c>
      <c r="T315" s="28">
        <f>SUMIF(X302:X321,"학국",E302:E321)</f>
        <v>0</v>
      </c>
      <c r="U315" s="28">
        <f t="shared" si="71"/>
        <v>0</v>
      </c>
      <c r="V315" s="28" t="s">
        <v>5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20</v>
      </c>
      <c r="O316" s="28">
        <f>COUNTIF(C302:C321,"수")</f>
        <v>0</v>
      </c>
      <c r="P316" s="28" t="s">
        <v>5</v>
      </c>
      <c r="Q316" s="28">
        <f>SUMIF(C302:C321,"수",E302:E321)</f>
        <v>0</v>
      </c>
      <c r="R316" s="28">
        <f>COUNTIF(X302:X321,"수국")</f>
        <v>0</v>
      </c>
      <c r="S316" s="28" t="s">
        <v>5</v>
      </c>
      <c r="T316" s="28">
        <f>SUMIF(X302:X321,"수국",E302:E321)</f>
        <v>0</v>
      </c>
      <c r="U316" s="28">
        <f t="shared" si="71"/>
        <v>0</v>
      </c>
      <c r="V316" s="28" t="s">
        <v>5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21</v>
      </c>
      <c r="O317" s="28">
        <f>COUNTIF(C302:C321,"장")</f>
        <v>0</v>
      </c>
      <c r="P317" s="28" t="s">
        <v>5</v>
      </c>
      <c r="Q317" s="28">
        <f>SUMIF(C302:C321,"장",E302:E321)</f>
        <v>0</v>
      </c>
      <c r="R317" s="28">
        <f>COUNTIF(X302:X321,"장국")</f>
        <v>0</v>
      </c>
      <c r="S317" s="28" t="s">
        <v>5</v>
      </c>
      <c r="T317" s="28">
        <f>SUMIF(X302:X321,"장국",E302:E321)</f>
        <v>0</v>
      </c>
      <c r="U317" s="28">
        <f t="shared" si="71"/>
        <v>0</v>
      </c>
      <c r="V317" s="28" t="s">
        <v>5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24</v>
      </c>
      <c r="O321" s="28">
        <f>COUNTIF(C302:C321," ")</f>
        <v>0</v>
      </c>
      <c r="P321" s="28" t="s">
        <v>5</v>
      </c>
      <c r="Q321" s="28">
        <f>SUMIF(C302:C321," ",E302:E321)</f>
        <v>0</v>
      </c>
      <c r="R321" s="28"/>
      <c r="S321" s="28" t="s">
        <v>5</v>
      </c>
      <c r="T321" s="28"/>
      <c r="U321" s="28">
        <f>O321</f>
        <v>0</v>
      </c>
      <c r="V321" s="28" t="s">
        <v>5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39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3</v>
      </c>
      <c r="O322" s="28">
        <f>SUM(O302:O321)</f>
        <v>0</v>
      </c>
      <c r="P322" s="28" t="s">
        <v>5</v>
      </c>
      <c r="Q322" s="28">
        <f>SUM(Q302:Q321)</f>
        <v>0</v>
      </c>
      <c r="R322" s="28">
        <f>SUM(R302:R321)</f>
        <v>0</v>
      </c>
      <c r="S322" s="28" t="s">
        <v>5</v>
      </c>
      <c r="T322" s="28">
        <f>SUM(T302:T321)</f>
        <v>0</v>
      </c>
      <c r="U322" s="28">
        <f>SUM(U302:U321)</f>
        <v>0</v>
      </c>
      <c r="V322" s="28" t="s">
        <v>5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7</v>
      </c>
      <c r="O323" s="28">
        <f>COUNTIF(C323:C342,"전")</f>
        <v>0</v>
      </c>
      <c r="P323" s="28" t="s">
        <v>5</v>
      </c>
      <c r="Q323" s="28">
        <f>SUMIF(C323:C342,"전",E323:E342)</f>
        <v>0</v>
      </c>
      <c r="R323" s="28">
        <f>COUNTIF(X323:X342,"전국")</f>
        <v>0</v>
      </c>
      <c r="S323" s="28" t="s">
        <v>5</v>
      </c>
      <c r="T323" s="28">
        <f>SUMIF(X323:X342,"전국",E323:E342)</f>
        <v>0</v>
      </c>
      <c r="U323" s="28">
        <f t="shared" ref="U323:U338" si="75">O323-R323</f>
        <v>0</v>
      </c>
      <c r="V323" s="28" t="s">
        <v>5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8</v>
      </c>
      <c r="O324" s="28">
        <f>COUNTIF(C323:C342,"답")</f>
        <v>0</v>
      </c>
      <c r="P324" s="28" t="s">
        <v>5</v>
      </c>
      <c r="Q324" s="28">
        <f>SUMIF(C323:C342,"답",E323:E342)</f>
        <v>0</v>
      </c>
      <c r="R324" s="28">
        <f>COUNTIF(X323:X342,"답국")</f>
        <v>0</v>
      </c>
      <c r="S324" s="28" t="s">
        <v>5</v>
      </c>
      <c r="T324" s="28">
        <f>SUMIF(X323:X342,"답국",E323:E342)</f>
        <v>0</v>
      </c>
      <c r="U324" s="28">
        <f t="shared" si="75"/>
        <v>0</v>
      </c>
      <c r="V324" s="28" t="s">
        <v>5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9</v>
      </c>
      <c r="O325" s="28">
        <f>COUNTIF(C323:C342,"임")</f>
        <v>0</v>
      </c>
      <c r="P325" s="28" t="s">
        <v>5</v>
      </c>
      <c r="Q325" s="28">
        <f>SUMIF(C323:C342,"임",E323:E342)</f>
        <v>0</v>
      </c>
      <c r="R325" s="28">
        <f>COUNTIF(X323:X342,"임국")</f>
        <v>0</v>
      </c>
      <c r="S325" s="28" t="s">
        <v>5</v>
      </c>
      <c r="T325" s="28">
        <f>SUMIF(X323:X342,"임국",E323:E342)</f>
        <v>0</v>
      </c>
      <c r="U325" s="28">
        <f t="shared" si="75"/>
        <v>0</v>
      </c>
      <c r="V325" s="28" t="s">
        <v>5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10</v>
      </c>
      <c r="O326" s="28">
        <f>COUNTIF(C323:C342,"대")</f>
        <v>0</v>
      </c>
      <c r="P326" s="28" t="s">
        <v>5</v>
      </c>
      <c r="Q326" s="28">
        <f>SUMIF(C323:C342,"대",E323:E342)</f>
        <v>0</v>
      </c>
      <c r="R326" s="28">
        <f>COUNTIF(X323:X342,"대국")</f>
        <v>0</v>
      </c>
      <c r="S326" s="28" t="s">
        <v>5</v>
      </c>
      <c r="T326" s="28">
        <f>SUMIF(X323:X342,"대국",E323:E342)</f>
        <v>0</v>
      </c>
      <c r="U326" s="28">
        <f t="shared" si="75"/>
        <v>0</v>
      </c>
      <c r="V326" s="28" t="s">
        <v>5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11</v>
      </c>
      <c r="O327" s="28">
        <f>COUNTIF(C323:C342,"도")</f>
        <v>0</v>
      </c>
      <c r="P327" s="28" t="s">
        <v>5</v>
      </c>
      <c r="Q327" s="28">
        <f>SUMIF(C323:C342,"도",E323:E342)</f>
        <v>0</v>
      </c>
      <c r="R327" s="28">
        <f>COUNTIF(X323:X342,"도국")</f>
        <v>0</v>
      </c>
      <c r="S327" s="28" t="s">
        <v>5</v>
      </c>
      <c r="T327" s="28">
        <f>SUMIF(X323:X342,"도국",E323:E342)</f>
        <v>0</v>
      </c>
      <c r="U327" s="28">
        <f t="shared" si="75"/>
        <v>0</v>
      </c>
      <c r="V327" s="28" t="s">
        <v>5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12</v>
      </c>
      <c r="O328" s="28">
        <f>COUNTIF(C323:C342,"천")</f>
        <v>0</v>
      </c>
      <c r="P328" s="28" t="s">
        <v>5</v>
      </c>
      <c r="Q328" s="28">
        <f>SUMIF(C323:C342,"천",E323:E342)</f>
        <v>0</v>
      </c>
      <c r="R328" s="28">
        <f>COUNTIF(X323:X342,"천국")</f>
        <v>0</v>
      </c>
      <c r="S328" s="28" t="s">
        <v>5</v>
      </c>
      <c r="T328" s="28">
        <f>SUMIF(X323:X342,"천국",E323:E342)</f>
        <v>0</v>
      </c>
      <c r="U328" s="28">
        <f t="shared" si="75"/>
        <v>0</v>
      </c>
      <c r="V328" s="28" t="s">
        <v>5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13</v>
      </c>
      <c r="O329" s="28">
        <f>COUNTIF(C323:C342,"구")</f>
        <v>0</v>
      </c>
      <c r="P329" s="28" t="s">
        <v>5</v>
      </c>
      <c r="Q329" s="28">
        <f>SUMIF(C323:C342,"구",E323:E342)</f>
        <v>0</v>
      </c>
      <c r="R329" s="28">
        <f>COUNTIF(X323:X342,"구국")</f>
        <v>0</v>
      </c>
      <c r="S329" s="28" t="s">
        <v>5</v>
      </c>
      <c r="T329" s="28">
        <f>SUMIF(X323:X342,"구국",E323:E342)</f>
        <v>0</v>
      </c>
      <c r="U329" s="28">
        <f t="shared" si="75"/>
        <v>0</v>
      </c>
      <c r="V329" s="28" t="s">
        <v>5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14</v>
      </c>
      <c r="O330" s="28">
        <f>COUNTIF(C323:C342,"제")</f>
        <v>0</v>
      </c>
      <c r="P330" s="28" t="s">
        <v>5</v>
      </c>
      <c r="Q330" s="28">
        <f>SUMIF(C323:C342,"제",E323:E342)</f>
        <v>0</v>
      </c>
      <c r="R330" s="28">
        <f>COUNTIF(X323:X342,"제국")</f>
        <v>0</v>
      </c>
      <c r="S330" s="28" t="s">
        <v>5</v>
      </c>
      <c r="T330" s="28">
        <f>SUMIF(X323:X342,"제국",E323:E342)</f>
        <v>0</v>
      </c>
      <c r="U330" s="28">
        <f t="shared" si="75"/>
        <v>0</v>
      </c>
      <c r="V330" s="28" t="s">
        <v>5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15</v>
      </c>
      <c r="O331" s="28">
        <f>COUNTIF(C323:C342,"유")</f>
        <v>0</v>
      </c>
      <c r="P331" s="28" t="s">
        <v>5</v>
      </c>
      <c r="Q331" s="28">
        <f>SUMIF(C323:C342,"유",E323:E342)</f>
        <v>0</v>
      </c>
      <c r="R331" s="28">
        <f>COUNTIF(X323:X342,"유국")</f>
        <v>0</v>
      </c>
      <c r="S331" s="28" t="s">
        <v>5</v>
      </c>
      <c r="T331" s="28">
        <f>SUMIF(X323:X342,"유국",E323:E342)</f>
        <v>0</v>
      </c>
      <c r="U331" s="28">
        <f t="shared" si="75"/>
        <v>0</v>
      </c>
      <c r="V331" s="28" t="s">
        <v>5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16</v>
      </c>
      <c r="O332" s="28">
        <f>COUNTIF(C323:C342,"과")</f>
        <v>0</v>
      </c>
      <c r="P332" s="28" t="s">
        <v>5</v>
      </c>
      <c r="Q332" s="28">
        <f>SUMIF(C323:C342,"과",E323:E342)</f>
        <v>0</v>
      </c>
      <c r="R332" s="28">
        <f>COUNTIF(X323:X342,"과국")</f>
        <v>0</v>
      </c>
      <c r="S332" s="28" t="s">
        <v>5</v>
      </c>
      <c r="T332" s="28">
        <f>SUMIF(X323:X342,"과국",E323:E342)</f>
        <v>0</v>
      </c>
      <c r="U332" s="28">
        <f t="shared" si="75"/>
        <v>0</v>
      </c>
      <c r="V332" s="28" t="s">
        <v>5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17</v>
      </c>
      <c r="O333" s="28">
        <f>COUNTIF(C323:C342,"묘")</f>
        <v>0</v>
      </c>
      <c r="P333" s="28" t="s">
        <v>5</v>
      </c>
      <c r="Q333" s="28">
        <f>SUMIF(C323:C342,"묘",E323:E342)</f>
        <v>0</v>
      </c>
      <c r="R333" s="28">
        <f>COUNTIF(X323:X342,"묘국")</f>
        <v>0</v>
      </c>
      <c r="S333" s="28" t="s">
        <v>5</v>
      </c>
      <c r="T333" s="28">
        <f>SUMIF(X323:X342,"묘국",E323:E342)</f>
        <v>0</v>
      </c>
      <c r="U333" s="28">
        <f t="shared" si="75"/>
        <v>0</v>
      </c>
      <c r="V333" s="28" t="s">
        <v>5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18</v>
      </c>
      <c r="O334" s="28">
        <f>COUNTIF(C323:C342,"목")</f>
        <v>0</v>
      </c>
      <c r="P334" s="28" t="s">
        <v>5</v>
      </c>
      <c r="Q334" s="28">
        <f>SUMIF(C323:C342,"목",E323:E342)</f>
        <v>0</v>
      </c>
      <c r="R334" s="28">
        <f>COUNTIF(X323:X342,"목국")</f>
        <v>0</v>
      </c>
      <c r="S334" s="28" t="s">
        <v>5</v>
      </c>
      <c r="T334" s="28">
        <f>SUMIF(X323:X342,"목국",E323:E342)</f>
        <v>0</v>
      </c>
      <c r="U334" s="28">
        <f t="shared" si="75"/>
        <v>0</v>
      </c>
      <c r="V334" s="28" t="s">
        <v>5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19</v>
      </c>
      <c r="O335" s="28">
        <f>COUNTIF(C323:C342,"잡")</f>
        <v>0</v>
      </c>
      <c r="P335" s="28" t="s">
        <v>5</v>
      </c>
      <c r="Q335" s="28">
        <f>SUMIF(C323:C342,"잡",E323:E342)</f>
        <v>0</v>
      </c>
      <c r="R335" s="28">
        <f>COUNTIF(X323:X342,"잡국")</f>
        <v>0</v>
      </c>
      <c r="S335" s="28" t="s">
        <v>5</v>
      </c>
      <c r="T335" s="28">
        <f>SUMIF(X323:X342,"잡국",E323:E342)</f>
        <v>0</v>
      </c>
      <c r="U335" s="28">
        <f t="shared" si="75"/>
        <v>0</v>
      </c>
      <c r="V335" s="28" t="s">
        <v>5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23</v>
      </c>
      <c r="O336" s="28">
        <f>COUNTIF(C323:C342,"학")</f>
        <v>0</v>
      </c>
      <c r="P336" s="28" t="s">
        <v>5</v>
      </c>
      <c r="Q336" s="28">
        <f>SUMIF(C323:C342,"학",E323:E342)</f>
        <v>0</v>
      </c>
      <c r="R336" s="28">
        <f>COUNTIF(X323:X342,"학국")</f>
        <v>0</v>
      </c>
      <c r="S336" s="28" t="s">
        <v>5</v>
      </c>
      <c r="T336" s="28">
        <f>SUMIF(X323:X342,"학국",E323:E342)</f>
        <v>0</v>
      </c>
      <c r="U336" s="28">
        <f t="shared" si="75"/>
        <v>0</v>
      </c>
      <c r="V336" s="28" t="s">
        <v>5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20</v>
      </c>
      <c r="O337" s="28">
        <f>COUNTIF(C323:C342,"수")</f>
        <v>0</v>
      </c>
      <c r="P337" s="28" t="s">
        <v>5</v>
      </c>
      <c r="Q337" s="28">
        <f>SUMIF(C323:C342,"수",E323:E342)</f>
        <v>0</v>
      </c>
      <c r="R337" s="28">
        <f>COUNTIF(X323:X342,"수국")</f>
        <v>0</v>
      </c>
      <c r="S337" s="28" t="s">
        <v>5</v>
      </c>
      <c r="T337" s="28">
        <f>SUMIF(X323:X342,"수국",E323:E342)</f>
        <v>0</v>
      </c>
      <c r="U337" s="28">
        <f t="shared" si="75"/>
        <v>0</v>
      </c>
      <c r="V337" s="28" t="s">
        <v>5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21</v>
      </c>
      <c r="O338" s="28">
        <f>COUNTIF(C323:C342,"장")</f>
        <v>0</v>
      </c>
      <c r="P338" s="28" t="s">
        <v>5</v>
      </c>
      <c r="Q338" s="28">
        <f>SUMIF(C323:C342,"장",E323:E342)</f>
        <v>0</v>
      </c>
      <c r="R338" s="28">
        <f>COUNTIF(X323:X342,"장국")</f>
        <v>0</v>
      </c>
      <c r="S338" s="28" t="s">
        <v>5</v>
      </c>
      <c r="T338" s="28">
        <f>SUMIF(X323:X342,"장국",E323:E342)</f>
        <v>0</v>
      </c>
      <c r="U338" s="28">
        <f t="shared" si="75"/>
        <v>0</v>
      </c>
      <c r="V338" s="28" t="s">
        <v>5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24</v>
      </c>
      <c r="O342" s="28">
        <f>COUNTIF(C323:C342," ")</f>
        <v>0</v>
      </c>
      <c r="P342" s="28" t="s">
        <v>5</v>
      </c>
      <c r="Q342" s="28">
        <f>SUMIF(C323:C342," ",E323:E342)</f>
        <v>0</v>
      </c>
      <c r="R342" s="28"/>
      <c r="S342" s="28" t="s">
        <v>5</v>
      </c>
      <c r="T342" s="28"/>
      <c r="U342" s="28">
        <f>O342</f>
        <v>0</v>
      </c>
      <c r="V342" s="28" t="s">
        <v>5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39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3</v>
      </c>
      <c r="O343" s="28">
        <f>SUM(O323:O342)</f>
        <v>0</v>
      </c>
      <c r="P343" s="28" t="s">
        <v>5</v>
      </c>
      <c r="Q343" s="28">
        <f>SUM(Q323:Q342)</f>
        <v>0</v>
      </c>
      <c r="R343" s="28">
        <f>SUM(R323:R342)</f>
        <v>0</v>
      </c>
      <c r="S343" s="28" t="s">
        <v>5</v>
      </c>
      <c r="T343" s="28">
        <f>SUM(T323:T342)</f>
        <v>0</v>
      </c>
      <c r="U343" s="28">
        <f>SUM(U323:U342)</f>
        <v>0</v>
      </c>
      <c r="V343" s="28" t="s">
        <v>5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7</v>
      </c>
      <c r="O344" s="28">
        <f>COUNTIF(C344:C363,"전")</f>
        <v>0</v>
      </c>
      <c r="P344" s="28" t="s">
        <v>5</v>
      </c>
      <c r="Q344" s="28">
        <f>SUMIF(C344:C363,"전",E344:E363)</f>
        <v>0</v>
      </c>
      <c r="R344" s="28">
        <f>COUNTIF(X344:X363,"전국")</f>
        <v>0</v>
      </c>
      <c r="S344" s="28" t="s">
        <v>5</v>
      </c>
      <c r="T344" s="28">
        <f>SUMIF(X344:X363,"전국",E344:E363)</f>
        <v>0</v>
      </c>
      <c r="U344" s="28">
        <f t="shared" ref="U344:U359" si="79">O344-R344</f>
        <v>0</v>
      </c>
      <c r="V344" s="28" t="s">
        <v>5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8</v>
      </c>
      <c r="O345" s="28">
        <f>COUNTIF(C344:C363,"답")</f>
        <v>0</v>
      </c>
      <c r="P345" s="28" t="s">
        <v>5</v>
      </c>
      <c r="Q345" s="28">
        <f>SUMIF(C344:C363,"답",E344:E363)</f>
        <v>0</v>
      </c>
      <c r="R345" s="28">
        <f>COUNTIF(X344:X363,"답국")</f>
        <v>0</v>
      </c>
      <c r="S345" s="28" t="s">
        <v>5</v>
      </c>
      <c r="T345" s="28">
        <f>SUMIF(X344:X363,"답국",E344:E363)</f>
        <v>0</v>
      </c>
      <c r="U345" s="28">
        <f t="shared" si="79"/>
        <v>0</v>
      </c>
      <c r="V345" s="28" t="s">
        <v>5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9</v>
      </c>
      <c r="O346" s="28">
        <f>COUNTIF(C344:C363,"임")</f>
        <v>0</v>
      </c>
      <c r="P346" s="28" t="s">
        <v>5</v>
      </c>
      <c r="Q346" s="28">
        <f>SUMIF(C344:C363,"임",E344:E363)</f>
        <v>0</v>
      </c>
      <c r="R346" s="28">
        <f>COUNTIF(X344:X363,"임국")</f>
        <v>0</v>
      </c>
      <c r="S346" s="28" t="s">
        <v>5</v>
      </c>
      <c r="T346" s="28">
        <f>SUMIF(X344:X363,"임국",E344:E363)</f>
        <v>0</v>
      </c>
      <c r="U346" s="28">
        <f t="shared" si="79"/>
        <v>0</v>
      </c>
      <c r="V346" s="28" t="s">
        <v>5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10</v>
      </c>
      <c r="O347" s="28">
        <f>COUNTIF(C344:C363,"대")</f>
        <v>0</v>
      </c>
      <c r="P347" s="28" t="s">
        <v>5</v>
      </c>
      <c r="Q347" s="28">
        <f>SUMIF(C344:C363,"대",E344:E363)</f>
        <v>0</v>
      </c>
      <c r="R347" s="28">
        <f>COUNTIF(X344:X363,"대국")</f>
        <v>0</v>
      </c>
      <c r="S347" s="28" t="s">
        <v>5</v>
      </c>
      <c r="T347" s="28">
        <f>SUMIF(X344:X363,"대국",E344:E363)</f>
        <v>0</v>
      </c>
      <c r="U347" s="28">
        <f t="shared" si="79"/>
        <v>0</v>
      </c>
      <c r="V347" s="28" t="s">
        <v>5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11</v>
      </c>
      <c r="O348" s="28">
        <f>COUNTIF(C344:C363,"도")</f>
        <v>0</v>
      </c>
      <c r="P348" s="28" t="s">
        <v>5</v>
      </c>
      <c r="Q348" s="28">
        <f>SUMIF(C344:C363,"도",E344:E363)</f>
        <v>0</v>
      </c>
      <c r="R348" s="28">
        <f>COUNTIF(X344:X363,"도국")</f>
        <v>0</v>
      </c>
      <c r="S348" s="28" t="s">
        <v>5</v>
      </c>
      <c r="T348" s="28">
        <f>SUMIF(X344:X363,"도국",E344:E363)</f>
        <v>0</v>
      </c>
      <c r="U348" s="28">
        <f t="shared" si="79"/>
        <v>0</v>
      </c>
      <c r="V348" s="28" t="s">
        <v>5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12</v>
      </c>
      <c r="O349" s="28">
        <f>COUNTIF(C344:C363,"천")</f>
        <v>0</v>
      </c>
      <c r="P349" s="28" t="s">
        <v>5</v>
      </c>
      <c r="Q349" s="28">
        <f>SUMIF(C344:C363,"천",E344:E363)</f>
        <v>0</v>
      </c>
      <c r="R349" s="28">
        <f>COUNTIF(X344:X363,"천국")</f>
        <v>0</v>
      </c>
      <c r="S349" s="28" t="s">
        <v>5</v>
      </c>
      <c r="T349" s="28">
        <f>SUMIF(X344:X363,"천국",E344:E363)</f>
        <v>0</v>
      </c>
      <c r="U349" s="28">
        <f t="shared" si="79"/>
        <v>0</v>
      </c>
      <c r="V349" s="28" t="s">
        <v>5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13</v>
      </c>
      <c r="O350" s="28">
        <f>COUNTIF(C344:C363,"구")</f>
        <v>0</v>
      </c>
      <c r="P350" s="28" t="s">
        <v>5</v>
      </c>
      <c r="Q350" s="28">
        <f>SUMIF(C344:C363,"구",E344:E363)</f>
        <v>0</v>
      </c>
      <c r="R350" s="28">
        <f>COUNTIF(X344:X363,"구국")</f>
        <v>0</v>
      </c>
      <c r="S350" s="28" t="s">
        <v>5</v>
      </c>
      <c r="T350" s="28">
        <f>SUMIF(X344:X363,"구국",E344:E363)</f>
        <v>0</v>
      </c>
      <c r="U350" s="28">
        <f t="shared" si="79"/>
        <v>0</v>
      </c>
      <c r="V350" s="28" t="s">
        <v>5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14</v>
      </c>
      <c r="O351" s="28">
        <f>COUNTIF(C344:C363,"제")</f>
        <v>0</v>
      </c>
      <c r="P351" s="28" t="s">
        <v>5</v>
      </c>
      <c r="Q351" s="28">
        <f>SUMIF(C344:C363,"제",E344:E363)</f>
        <v>0</v>
      </c>
      <c r="R351" s="28">
        <f>COUNTIF(X344:X363,"제국")</f>
        <v>0</v>
      </c>
      <c r="S351" s="28" t="s">
        <v>5</v>
      </c>
      <c r="T351" s="28">
        <f>SUMIF(X344:X363,"제국",E344:E363)</f>
        <v>0</v>
      </c>
      <c r="U351" s="28">
        <f t="shared" si="79"/>
        <v>0</v>
      </c>
      <c r="V351" s="28" t="s">
        <v>5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15</v>
      </c>
      <c r="O352" s="28">
        <f>COUNTIF(C344:C363,"유")</f>
        <v>0</v>
      </c>
      <c r="P352" s="28" t="s">
        <v>5</v>
      </c>
      <c r="Q352" s="28">
        <f>SUMIF(C344:C363,"유",E344:E363)</f>
        <v>0</v>
      </c>
      <c r="R352" s="28">
        <f>COUNTIF(X344:X363,"유국")</f>
        <v>0</v>
      </c>
      <c r="S352" s="28" t="s">
        <v>5</v>
      </c>
      <c r="T352" s="28">
        <f>SUMIF(X344:X363,"유국",E344:E363)</f>
        <v>0</v>
      </c>
      <c r="U352" s="28">
        <f t="shared" si="79"/>
        <v>0</v>
      </c>
      <c r="V352" s="28" t="s">
        <v>5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16</v>
      </c>
      <c r="O353" s="28">
        <f>COUNTIF(C344:C363,"과")</f>
        <v>0</v>
      </c>
      <c r="P353" s="28" t="s">
        <v>5</v>
      </c>
      <c r="Q353" s="28">
        <f>SUMIF(C344:C363,"과",E344:E363)</f>
        <v>0</v>
      </c>
      <c r="R353" s="28">
        <f>COUNTIF(X344:X363,"과국")</f>
        <v>0</v>
      </c>
      <c r="S353" s="28" t="s">
        <v>5</v>
      </c>
      <c r="T353" s="28">
        <f>SUMIF(X344:X363,"과국",E344:E363)</f>
        <v>0</v>
      </c>
      <c r="U353" s="28">
        <f t="shared" si="79"/>
        <v>0</v>
      </c>
      <c r="V353" s="28" t="s">
        <v>5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17</v>
      </c>
      <c r="O354" s="28">
        <f>COUNTIF(C344:C363,"묘")</f>
        <v>0</v>
      </c>
      <c r="P354" s="28" t="s">
        <v>5</v>
      </c>
      <c r="Q354" s="28">
        <f>SUMIF(C344:C363,"묘",E344:E363)</f>
        <v>0</v>
      </c>
      <c r="R354" s="28">
        <f>COUNTIF(X344:X363,"묘국")</f>
        <v>0</v>
      </c>
      <c r="S354" s="28" t="s">
        <v>5</v>
      </c>
      <c r="T354" s="28">
        <f>SUMIF(X344:X363,"묘국",E344:E363)</f>
        <v>0</v>
      </c>
      <c r="U354" s="28">
        <f t="shared" si="79"/>
        <v>0</v>
      </c>
      <c r="V354" s="28" t="s">
        <v>5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18</v>
      </c>
      <c r="O355" s="28">
        <f>COUNTIF(C344:C363,"목")</f>
        <v>0</v>
      </c>
      <c r="P355" s="28" t="s">
        <v>5</v>
      </c>
      <c r="Q355" s="28">
        <f>SUMIF(C344:C363,"목",E344:E363)</f>
        <v>0</v>
      </c>
      <c r="R355" s="28">
        <f>COUNTIF(X344:X363,"목국")</f>
        <v>0</v>
      </c>
      <c r="S355" s="28" t="s">
        <v>5</v>
      </c>
      <c r="T355" s="28">
        <f>SUMIF(X344:X363,"목국",E344:E363)</f>
        <v>0</v>
      </c>
      <c r="U355" s="28">
        <f t="shared" si="79"/>
        <v>0</v>
      </c>
      <c r="V355" s="28" t="s">
        <v>5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19</v>
      </c>
      <c r="O356" s="28">
        <f>COUNTIF(C344:C363,"잡")</f>
        <v>0</v>
      </c>
      <c r="P356" s="28" t="s">
        <v>5</v>
      </c>
      <c r="Q356" s="28">
        <f>SUMIF(C344:C363,"잡",E344:E363)</f>
        <v>0</v>
      </c>
      <c r="R356" s="28">
        <f>COUNTIF(X344:X363,"잡국")</f>
        <v>0</v>
      </c>
      <c r="S356" s="28" t="s">
        <v>5</v>
      </c>
      <c r="T356" s="28">
        <f>SUMIF(X344:X363,"잡국",E344:E363)</f>
        <v>0</v>
      </c>
      <c r="U356" s="28">
        <f t="shared" si="79"/>
        <v>0</v>
      </c>
      <c r="V356" s="28" t="s">
        <v>5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23</v>
      </c>
      <c r="O357" s="28">
        <f>COUNTIF(C344:C363,"학")</f>
        <v>0</v>
      </c>
      <c r="P357" s="28" t="s">
        <v>5</v>
      </c>
      <c r="Q357" s="28">
        <f>SUMIF(C344:C363,"학",E344:E363)</f>
        <v>0</v>
      </c>
      <c r="R357" s="28">
        <f>COUNTIF(X344:X363,"학국")</f>
        <v>0</v>
      </c>
      <c r="S357" s="28" t="s">
        <v>5</v>
      </c>
      <c r="T357" s="28">
        <f>SUMIF(X344:X363,"학국",E344:E363)</f>
        <v>0</v>
      </c>
      <c r="U357" s="28">
        <f t="shared" si="79"/>
        <v>0</v>
      </c>
      <c r="V357" s="28" t="s">
        <v>5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20</v>
      </c>
      <c r="O358" s="28">
        <f>COUNTIF(C344:C363,"수")</f>
        <v>0</v>
      </c>
      <c r="P358" s="28" t="s">
        <v>5</v>
      </c>
      <c r="Q358" s="28">
        <f>SUMIF(C344:C363,"수",E344:E363)</f>
        <v>0</v>
      </c>
      <c r="R358" s="28">
        <f>COUNTIF(X344:X363,"수국")</f>
        <v>0</v>
      </c>
      <c r="S358" s="28" t="s">
        <v>5</v>
      </c>
      <c r="T358" s="28">
        <f>SUMIF(X344:X363,"수국",E344:E363)</f>
        <v>0</v>
      </c>
      <c r="U358" s="28">
        <f t="shared" si="79"/>
        <v>0</v>
      </c>
      <c r="V358" s="28" t="s">
        <v>5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21</v>
      </c>
      <c r="O359" s="28">
        <f>COUNTIF(C344:C363,"장")</f>
        <v>0</v>
      </c>
      <c r="P359" s="28" t="s">
        <v>5</v>
      </c>
      <c r="Q359" s="28">
        <f>SUMIF(C344:C363,"장",E344:E363)</f>
        <v>0</v>
      </c>
      <c r="R359" s="28">
        <f>COUNTIF(X344:X363,"장국")</f>
        <v>0</v>
      </c>
      <c r="S359" s="28" t="s">
        <v>5</v>
      </c>
      <c r="T359" s="28">
        <f>SUMIF(X344:X363,"장국",E344:E363)</f>
        <v>0</v>
      </c>
      <c r="U359" s="28">
        <f t="shared" si="79"/>
        <v>0</v>
      </c>
      <c r="V359" s="28" t="s">
        <v>5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24</v>
      </c>
      <c r="O363" s="28">
        <f>COUNTIF(C344:C363," ")</f>
        <v>0</v>
      </c>
      <c r="P363" s="28" t="s">
        <v>5</v>
      </c>
      <c r="Q363" s="28">
        <f>SUMIF(C344:C363," ",E344:E363)</f>
        <v>0</v>
      </c>
      <c r="R363" s="28"/>
      <c r="S363" s="28" t="s">
        <v>5</v>
      </c>
      <c r="T363" s="28"/>
      <c r="U363" s="28">
        <f>O363</f>
        <v>0</v>
      </c>
      <c r="V363" s="28" t="s">
        <v>5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39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3</v>
      </c>
      <c r="O364" s="28">
        <f>SUM(O344:O363)</f>
        <v>0</v>
      </c>
      <c r="P364" s="28" t="s">
        <v>5</v>
      </c>
      <c r="Q364" s="28">
        <f>SUM(Q344:Q363)</f>
        <v>0</v>
      </c>
      <c r="R364" s="28">
        <f>SUM(R344:R363)</f>
        <v>0</v>
      </c>
      <c r="S364" s="28" t="s">
        <v>5</v>
      </c>
      <c r="T364" s="28">
        <f>SUM(T344:T363)</f>
        <v>0</v>
      </c>
      <c r="U364" s="28">
        <f>SUM(U344:U363)</f>
        <v>0</v>
      </c>
      <c r="V364" s="28" t="s">
        <v>5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7</v>
      </c>
      <c r="O365" s="28">
        <f>COUNTIF(C365:C384,"전")</f>
        <v>0</v>
      </c>
      <c r="P365" s="28" t="s">
        <v>5</v>
      </c>
      <c r="Q365" s="28">
        <f>SUMIF(C365:C384,"전",E365:E384)</f>
        <v>0</v>
      </c>
      <c r="R365" s="28">
        <f>COUNTIF(X365:X384,"전국")</f>
        <v>0</v>
      </c>
      <c r="S365" s="28" t="s">
        <v>5</v>
      </c>
      <c r="T365" s="28">
        <f>SUMIF(X365:X384,"전국",E365:E384)</f>
        <v>0</v>
      </c>
      <c r="U365" s="28">
        <f t="shared" ref="U365:U380" si="84">O365-R365</f>
        <v>0</v>
      </c>
      <c r="V365" s="28" t="s">
        <v>5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8</v>
      </c>
      <c r="O366" s="28">
        <f>COUNTIF(C365:C384,"답")</f>
        <v>0</v>
      </c>
      <c r="P366" s="28" t="s">
        <v>5</v>
      </c>
      <c r="Q366" s="28">
        <f>SUMIF(C365:C384,"답",E365:E384)</f>
        <v>0</v>
      </c>
      <c r="R366" s="28">
        <f>COUNTIF(X365:X384,"답국")</f>
        <v>0</v>
      </c>
      <c r="S366" s="28" t="s">
        <v>5</v>
      </c>
      <c r="T366" s="28">
        <f>SUMIF(X365:X384,"답국",E365:E384)</f>
        <v>0</v>
      </c>
      <c r="U366" s="28">
        <f t="shared" si="84"/>
        <v>0</v>
      </c>
      <c r="V366" s="28" t="s">
        <v>5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9</v>
      </c>
      <c r="O367" s="28">
        <f>COUNTIF(C365:C384,"임")</f>
        <v>0</v>
      </c>
      <c r="P367" s="28" t="s">
        <v>5</v>
      </c>
      <c r="Q367" s="28">
        <f>SUMIF(C365:C384,"임",E365:E384)</f>
        <v>0</v>
      </c>
      <c r="R367" s="28">
        <f>COUNTIF(X365:X384,"임국")</f>
        <v>0</v>
      </c>
      <c r="S367" s="28" t="s">
        <v>5</v>
      </c>
      <c r="T367" s="28">
        <f>SUMIF(X365:X384,"임국",E365:E384)</f>
        <v>0</v>
      </c>
      <c r="U367" s="28">
        <f t="shared" si="84"/>
        <v>0</v>
      </c>
      <c r="V367" s="28" t="s">
        <v>5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10</v>
      </c>
      <c r="O368" s="28">
        <f>COUNTIF(C365:C384,"대")</f>
        <v>0</v>
      </c>
      <c r="P368" s="28" t="s">
        <v>5</v>
      </c>
      <c r="Q368" s="28">
        <f>SUMIF(C365:C384,"대",E365:E384)</f>
        <v>0</v>
      </c>
      <c r="R368" s="28">
        <f>COUNTIF(X365:X384,"대국")</f>
        <v>0</v>
      </c>
      <c r="S368" s="28" t="s">
        <v>5</v>
      </c>
      <c r="T368" s="28">
        <f>SUMIF(X365:X384,"대국",E365:E384)</f>
        <v>0</v>
      </c>
      <c r="U368" s="28">
        <f t="shared" si="84"/>
        <v>0</v>
      </c>
      <c r="V368" s="28" t="s">
        <v>5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11</v>
      </c>
      <c r="O369" s="28">
        <f>COUNTIF(C365:C384,"도")</f>
        <v>0</v>
      </c>
      <c r="P369" s="28" t="s">
        <v>5</v>
      </c>
      <c r="Q369" s="28">
        <f>SUMIF(C365:C384,"도",E365:E384)</f>
        <v>0</v>
      </c>
      <c r="R369" s="28">
        <f>COUNTIF(X365:X384,"도국")</f>
        <v>0</v>
      </c>
      <c r="S369" s="28" t="s">
        <v>5</v>
      </c>
      <c r="T369" s="28">
        <f>SUMIF(X365:X384,"도국",E365:E384)</f>
        <v>0</v>
      </c>
      <c r="U369" s="28">
        <f t="shared" si="84"/>
        <v>0</v>
      </c>
      <c r="V369" s="28" t="s">
        <v>5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12</v>
      </c>
      <c r="O370" s="28">
        <f>COUNTIF(C365:C384,"천")</f>
        <v>0</v>
      </c>
      <c r="P370" s="28" t="s">
        <v>5</v>
      </c>
      <c r="Q370" s="28">
        <f>SUMIF(C365:C384,"천",E365:E384)</f>
        <v>0</v>
      </c>
      <c r="R370" s="28">
        <f>COUNTIF(X365:X384,"천국")</f>
        <v>0</v>
      </c>
      <c r="S370" s="28" t="s">
        <v>5</v>
      </c>
      <c r="T370" s="28">
        <f>SUMIF(X365:X384,"천국",E365:E384)</f>
        <v>0</v>
      </c>
      <c r="U370" s="28">
        <f t="shared" si="84"/>
        <v>0</v>
      </c>
      <c r="V370" s="28" t="s">
        <v>5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13</v>
      </c>
      <c r="O371" s="28">
        <f>COUNTIF(C365:C384,"구")</f>
        <v>0</v>
      </c>
      <c r="P371" s="28" t="s">
        <v>5</v>
      </c>
      <c r="Q371" s="28">
        <f>SUMIF(C365:C384,"구",E365:E384)</f>
        <v>0</v>
      </c>
      <c r="R371" s="28">
        <f>COUNTIF(X365:X384,"구국")</f>
        <v>0</v>
      </c>
      <c r="S371" s="28" t="s">
        <v>5</v>
      </c>
      <c r="T371" s="28">
        <f>SUMIF(X365:X384,"구국",E365:E384)</f>
        <v>0</v>
      </c>
      <c r="U371" s="28">
        <f t="shared" si="84"/>
        <v>0</v>
      </c>
      <c r="V371" s="28" t="s">
        <v>5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14</v>
      </c>
      <c r="O372" s="28">
        <f>COUNTIF(C365:C384,"제")</f>
        <v>0</v>
      </c>
      <c r="P372" s="28" t="s">
        <v>5</v>
      </c>
      <c r="Q372" s="28">
        <f>SUMIF(C365:C384,"제",E365:E384)</f>
        <v>0</v>
      </c>
      <c r="R372" s="28">
        <f>COUNTIF(X365:X384,"제국")</f>
        <v>0</v>
      </c>
      <c r="S372" s="28" t="s">
        <v>5</v>
      </c>
      <c r="T372" s="28">
        <f>SUMIF(X365:X384,"제국",E365:E384)</f>
        <v>0</v>
      </c>
      <c r="U372" s="28">
        <f t="shared" si="84"/>
        <v>0</v>
      </c>
      <c r="V372" s="28" t="s">
        <v>5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15</v>
      </c>
      <c r="O373" s="28">
        <f>COUNTIF(C365:C384,"유")</f>
        <v>0</v>
      </c>
      <c r="P373" s="28" t="s">
        <v>5</v>
      </c>
      <c r="Q373" s="28">
        <f>SUMIF(C365:C384,"유",E365:E384)</f>
        <v>0</v>
      </c>
      <c r="R373" s="28">
        <f>COUNTIF(X365:X384,"유국")</f>
        <v>0</v>
      </c>
      <c r="S373" s="28" t="s">
        <v>5</v>
      </c>
      <c r="T373" s="28">
        <f>SUMIF(X365:X384,"유국",E365:E384)</f>
        <v>0</v>
      </c>
      <c r="U373" s="28">
        <f t="shared" si="84"/>
        <v>0</v>
      </c>
      <c r="V373" s="28" t="s">
        <v>5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16</v>
      </c>
      <c r="O374" s="28">
        <f>COUNTIF(C365:C384,"과")</f>
        <v>0</v>
      </c>
      <c r="P374" s="28" t="s">
        <v>5</v>
      </c>
      <c r="Q374" s="28">
        <f>SUMIF(C365:C384,"과",E365:E384)</f>
        <v>0</v>
      </c>
      <c r="R374" s="28">
        <f>COUNTIF(X365:X384,"과국")</f>
        <v>0</v>
      </c>
      <c r="S374" s="28" t="s">
        <v>5</v>
      </c>
      <c r="T374" s="28">
        <f>SUMIF(X365:X384,"과국",E365:E384)</f>
        <v>0</v>
      </c>
      <c r="U374" s="28">
        <f t="shared" si="84"/>
        <v>0</v>
      </c>
      <c r="V374" s="28" t="s">
        <v>5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17</v>
      </c>
      <c r="O375" s="28">
        <f>COUNTIF(C365:C384,"묘")</f>
        <v>0</v>
      </c>
      <c r="P375" s="28" t="s">
        <v>5</v>
      </c>
      <c r="Q375" s="28">
        <f>SUMIF(C365:C384,"묘",E365:E384)</f>
        <v>0</v>
      </c>
      <c r="R375" s="28">
        <f>COUNTIF(X365:X384,"묘국")</f>
        <v>0</v>
      </c>
      <c r="S375" s="28" t="s">
        <v>5</v>
      </c>
      <c r="T375" s="28">
        <f>SUMIF(X365:X384,"묘국",E365:E384)</f>
        <v>0</v>
      </c>
      <c r="U375" s="28">
        <f t="shared" si="84"/>
        <v>0</v>
      </c>
      <c r="V375" s="28" t="s">
        <v>5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18</v>
      </c>
      <c r="O376" s="28">
        <f>COUNTIF(C365:C384,"목")</f>
        <v>0</v>
      </c>
      <c r="P376" s="28" t="s">
        <v>5</v>
      </c>
      <c r="Q376" s="28">
        <f>SUMIF(C365:C384,"목",E365:E384)</f>
        <v>0</v>
      </c>
      <c r="R376" s="28">
        <f>COUNTIF(X365:X384,"목국")</f>
        <v>0</v>
      </c>
      <c r="S376" s="28" t="s">
        <v>5</v>
      </c>
      <c r="T376" s="28">
        <f>SUMIF(X365:X384,"목국",E365:E384)</f>
        <v>0</v>
      </c>
      <c r="U376" s="28">
        <f t="shared" si="84"/>
        <v>0</v>
      </c>
      <c r="V376" s="28" t="s">
        <v>5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19</v>
      </c>
      <c r="O377" s="28">
        <f>COUNTIF(C365:C384,"잡")</f>
        <v>0</v>
      </c>
      <c r="P377" s="28" t="s">
        <v>5</v>
      </c>
      <c r="Q377" s="28">
        <f>SUMIF(C365:C384,"잡",E365:E384)</f>
        <v>0</v>
      </c>
      <c r="R377" s="28">
        <f>COUNTIF(X365:X384,"잡국")</f>
        <v>0</v>
      </c>
      <c r="S377" s="28" t="s">
        <v>5</v>
      </c>
      <c r="T377" s="28">
        <f>SUMIF(X365:X384,"잡국",E365:E384)</f>
        <v>0</v>
      </c>
      <c r="U377" s="28">
        <f t="shared" si="84"/>
        <v>0</v>
      </c>
      <c r="V377" s="28" t="s">
        <v>5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23</v>
      </c>
      <c r="O378" s="28">
        <f>COUNTIF(C365:C384,"학")</f>
        <v>0</v>
      </c>
      <c r="P378" s="28" t="s">
        <v>5</v>
      </c>
      <c r="Q378" s="28">
        <f>SUMIF(C365:C384,"학",E365:E384)</f>
        <v>0</v>
      </c>
      <c r="R378" s="28">
        <f>COUNTIF(X365:X384,"학국")</f>
        <v>0</v>
      </c>
      <c r="S378" s="28" t="s">
        <v>5</v>
      </c>
      <c r="T378" s="28">
        <f>SUMIF(X365:X384,"학국",E365:E384)</f>
        <v>0</v>
      </c>
      <c r="U378" s="28">
        <f t="shared" si="84"/>
        <v>0</v>
      </c>
      <c r="V378" s="28" t="s">
        <v>5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20</v>
      </c>
      <c r="O379" s="28">
        <f>COUNTIF(C365:C384,"수")</f>
        <v>0</v>
      </c>
      <c r="P379" s="28" t="s">
        <v>5</v>
      </c>
      <c r="Q379" s="28">
        <f>SUMIF(C365:C384,"수",E365:E384)</f>
        <v>0</v>
      </c>
      <c r="R379" s="28">
        <f>COUNTIF(X365:X384,"수국")</f>
        <v>0</v>
      </c>
      <c r="S379" s="28" t="s">
        <v>5</v>
      </c>
      <c r="T379" s="28">
        <f>SUMIF(X365:X384,"수국",E365:E384)</f>
        <v>0</v>
      </c>
      <c r="U379" s="28">
        <f t="shared" si="84"/>
        <v>0</v>
      </c>
      <c r="V379" s="28" t="s">
        <v>5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21</v>
      </c>
      <c r="O380" s="28">
        <f>COUNTIF(C365:C384,"장")</f>
        <v>0</v>
      </c>
      <c r="P380" s="28" t="s">
        <v>5</v>
      </c>
      <c r="Q380" s="28">
        <f>SUMIF(C365:C384,"장",E365:E384)</f>
        <v>0</v>
      </c>
      <c r="R380" s="28">
        <f>COUNTIF(X365:X384,"장국")</f>
        <v>0</v>
      </c>
      <c r="S380" s="28" t="s">
        <v>5</v>
      </c>
      <c r="T380" s="28">
        <f>SUMIF(X365:X384,"장국",E365:E384)</f>
        <v>0</v>
      </c>
      <c r="U380" s="28">
        <f t="shared" si="84"/>
        <v>0</v>
      </c>
      <c r="V380" s="28" t="s">
        <v>5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24</v>
      </c>
      <c r="O384" s="28">
        <f>COUNTIF(C365:C384," ")</f>
        <v>0</v>
      </c>
      <c r="P384" s="28" t="s">
        <v>5</v>
      </c>
      <c r="Q384" s="28">
        <f>SUMIF(C365:C384," ",E365:E384)</f>
        <v>0</v>
      </c>
      <c r="R384" s="28"/>
      <c r="S384" s="28" t="s">
        <v>5</v>
      </c>
      <c r="T384" s="28"/>
      <c r="U384" s="28">
        <f>O384</f>
        <v>0</v>
      </c>
      <c r="V384" s="28" t="s">
        <v>5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39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3</v>
      </c>
      <c r="O385" s="28">
        <f>SUM(O365:O384)</f>
        <v>0</v>
      </c>
      <c r="P385" s="28" t="s">
        <v>5</v>
      </c>
      <c r="Q385" s="28">
        <f>SUM(Q365:Q384)</f>
        <v>0</v>
      </c>
      <c r="R385" s="28">
        <f>SUM(R365:R384)</f>
        <v>0</v>
      </c>
      <c r="S385" s="28" t="s">
        <v>5</v>
      </c>
      <c r="T385" s="28">
        <f>SUM(T365:T384)</f>
        <v>0</v>
      </c>
      <c r="U385" s="28">
        <f>SUM(U365:U384)</f>
        <v>0</v>
      </c>
      <c r="V385" s="28" t="s">
        <v>5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7</v>
      </c>
      <c r="O386" s="28">
        <f>COUNTIF(C386:C405,"전")</f>
        <v>0</v>
      </c>
      <c r="P386" s="28" t="s">
        <v>5</v>
      </c>
      <c r="Q386" s="28">
        <f>SUMIF(C386:C405,"전",E386:E405)</f>
        <v>0</v>
      </c>
      <c r="R386" s="28">
        <f>COUNTIF(X386:X405,"전국")</f>
        <v>0</v>
      </c>
      <c r="S386" s="28" t="s">
        <v>5</v>
      </c>
      <c r="T386" s="28">
        <f>SUMIF(X386:X405,"전국",E386:E405)</f>
        <v>0</v>
      </c>
      <c r="U386" s="28">
        <f t="shared" ref="U386:U401" si="88">O386-R386</f>
        <v>0</v>
      </c>
      <c r="V386" s="28" t="s">
        <v>5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8</v>
      </c>
      <c r="O387" s="28">
        <f>COUNTIF(C386:C405,"답")</f>
        <v>0</v>
      </c>
      <c r="P387" s="28" t="s">
        <v>5</v>
      </c>
      <c r="Q387" s="28">
        <f>SUMIF(C386:C405,"답",E386:E405)</f>
        <v>0</v>
      </c>
      <c r="R387" s="28">
        <f>COUNTIF(X386:X405,"답국")</f>
        <v>0</v>
      </c>
      <c r="S387" s="28" t="s">
        <v>5</v>
      </c>
      <c r="T387" s="28">
        <f>SUMIF(X386:X405,"답국",E386:E405)</f>
        <v>0</v>
      </c>
      <c r="U387" s="28">
        <f t="shared" si="88"/>
        <v>0</v>
      </c>
      <c r="V387" s="28" t="s">
        <v>5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9</v>
      </c>
      <c r="O388" s="28">
        <f>COUNTIF(C386:C405,"임")</f>
        <v>0</v>
      </c>
      <c r="P388" s="28" t="s">
        <v>5</v>
      </c>
      <c r="Q388" s="28">
        <f>SUMIF(C386:C405,"임",E386:E405)</f>
        <v>0</v>
      </c>
      <c r="R388" s="28">
        <f>COUNTIF(X386:X405,"임국")</f>
        <v>0</v>
      </c>
      <c r="S388" s="28" t="s">
        <v>5</v>
      </c>
      <c r="T388" s="28">
        <f>SUMIF(X386:X405,"임국",E386:E405)</f>
        <v>0</v>
      </c>
      <c r="U388" s="28">
        <f t="shared" si="88"/>
        <v>0</v>
      </c>
      <c r="V388" s="28" t="s">
        <v>5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10</v>
      </c>
      <c r="O389" s="28">
        <f>COUNTIF(C386:C405,"대")</f>
        <v>0</v>
      </c>
      <c r="P389" s="28" t="s">
        <v>5</v>
      </c>
      <c r="Q389" s="28">
        <f>SUMIF(C386:C405,"대",E386:E405)</f>
        <v>0</v>
      </c>
      <c r="R389" s="28">
        <f>COUNTIF(X386:X405,"대국")</f>
        <v>0</v>
      </c>
      <c r="S389" s="28" t="s">
        <v>5</v>
      </c>
      <c r="T389" s="28">
        <f>SUMIF(X386:X405,"대국",E386:E405)</f>
        <v>0</v>
      </c>
      <c r="U389" s="28">
        <f t="shared" si="88"/>
        <v>0</v>
      </c>
      <c r="V389" s="28" t="s">
        <v>5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11</v>
      </c>
      <c r="O390" s="28">
        <f>COUNTIF(C386:C405,"도")</f>
        <v>0</v>
      </c>
      <c r="P390" s="28" t="s">
        <v>5</v>
      </c>
      <c r="Q390" s="28">
        <f>SUMIF(C386:C405,"도",E386:E405)</f>
        <v>0</v>
      </c>
      <c r="R390" s="28">
        <f>COUNTIF(X386:X405,"도국")</f>
        <v>0</v>
      </c>
      <c r="S390" s="28" t="s">
        <v>5</v>
      </c>
      <c r="T390" s="28">
        <f>SUMIF(X386:X405,"도국",E386:E405)</f>
        <v>0</v>
      </c>
      <c r="U390" s="28">
        <f t="shared" si="88"/>
        <v>0</v>
      </c>
      <c r="V390" s="28" t="s">
        <v>5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12</v>
      </c>
      <c r="O391" s="28">
        <f>COUNTIF(C386:C405,"천")</f>
        <v>0</v>
      </c>
      <c r="P391" s="28" t="s">
        <v>5</v>
      </c>
      <c r="Q391" s="28">
        <f>SUMIF(C386:C405,"천",E386:E405)</f>
        <v>0</v>
      </c>
      <c r="R391" s="28">
        <f>COUNTIF(X386:X405,"천국")</f>
        <v>0</v>
      </c>
      <c r="S391" s="28" t="s">
        <v>5</v>
      </c>
      <c r="T391" s="28">
        <f>SUMIF(X386:X405,"천국",E386:E405)</f>
        <v>0</v>
      </c>
      <c r="U391" s="28">
        <f t="shared" si="88"/>
        <v>0</v>
      </c>
      <c r="V391" s="28" t="s">
        <v>5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13</v>
      </c>
      <c r="O392" s="28">
        <f>COUNTIF(C386:C405,"구")</f>
        <v>0</v>
      </c>
      <c r="P392" s="28" t="s">
        <v>5</v>
      </c>
      <c r="Q392" s="28">
        <f>SUMIF(C386:C405,"구",E386:E405)</f>
        <v>0</v>
      </c>
      <c r="R392" s="28">
        <f>COUNTIF(X386:X405,"구국")</f>
        <v>0</v>
      </c>
      <c r="S392" s="28" t="s">
        <v>5</v>
      </c>
      <c r="T392" s="28">
        <f>SUMIF(X386:X405,"구국",E386:E405)</f>
        <v>0</v>
      </c>
      <c r="U392" s="28">
        <f t="shared" si="88"/>
        <v>0</v>
      </c>
      <c r="V392" s="28" t="s">
        <v>5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14</v>
      </c>
      <c r="O393" s="28">
        <f>COUNTIF(C386:C405,"제")</f>
        <v>0</v>
      </c>
      <c r="P393" s="28" t="s">
        <v>5</v>
      </c>
      <c r="Q393" s="28">
        <f>SUMIF(C386:C405,"제",E386:E405)</f>
        <v>0</v>
      </c>
      <c r="R393" s="28">
        <f>COUNTIF(X386:X405,"제국")</f>
        <v>0</v>
      </c>
      <c r="S393" s="28" t="s">
        <v>5</v>
      </c>
      <c r="T393" s="28">
        <f>SUMIF(X386:X405,"제국",E386:E405)</f>
        <v>0</v>
      </c>
      <c r="U393" s="28">
        <f t="shared" si="88"/>
        <v>0</v>
      </c>
      <c r="V393" s="28" t="s">
        <v>5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15</v>
      </c>
      <c r="O394" s="28">
        <f>COUNTIF(C386:C405,"유")</f>
        <v>0</v>
      </c>
      <c r="P394" s="28" t="s">
        <v>5</v>
      </c>
      <c r="Q394" s="28">
        <f>SUMIF(C386:C405,"유",E386:E405)</f>
        <v>0</v>
      </c>
      <c r="R394" s="28">
        <f>COUNTIF(X386:X405,"유국")</f>
        <v>0</v>
      </c>
      <c r="S394" s="28" t="s">
        <v>5</v>
      </c>
      <c r="T394" s="28">
        <f>SUMIF(X386:X405,"유국",E386:E405)</f>
        <v>0</v>
      </c>
      <c r="U394" s="28">
        <f t="shared" si="88"/>
        <v>0</v>
      </c>
      <c r="V394" s="28" t="s">
        <v>5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16</v>
      </c>
      <c r="O395" s="28">
        <f>COUNTIF(C386:C405,"과")</f>
        <v>0</v>
      </c>
      <c r="P395" s="28" t="s">
        <v>5</v>
      </c>
      <c r="Q395" s="28">
        <f>SUMIF(C386:C405,"과",E386:E405)</f>
        <v>0</v>
      </c>
      <c r="R395" s="28">
        <f>COUNTIF(X386:X405,"과국")</f>
        <v>0</v>
      </c>
      <c r="S395" s="28" t="s">
        <v>5</v>
      </c>
      <c r="T395" s="28">
        <f>SUMIF(X386:X405,"과국",E386:E405)</f>
        <v>0</v>
      </c>
      <c r="U395" s="28">
        <f t="shared" si="88"/>
        <v>0</v>
      </c>
      <c r="V395" s="28" t="s">
        <v>5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17</v>
      </c>
      <c r="O396" s="28">
        <f>COUNTIF(C386:C405,"묘")</f>
        <v>0</v>
      </c>
      <c r="P396" s="28" t="s">
        <v>5</v>
      </c>
      <c r="Q396" s="28">
        <f>SUMIF(C386:C405,"묘",E386:E405)</f>
        <v>0</v>
      </c>
      <c r="R396" s="28">
        <f>COUNTIF(X386:X405,"묘국")</f>
        <v>0</v>
      </c>
      <c r="S396" s="28" t="s">
        <v>5</v>
      </c>
      <c r="T396" s="28">
        <f>SUMIF(X386:X405,"묘국",E386:E405)</f>
        <v>0</v>
      </c>
      <c r="U396" s="28">
        <f t="shared" si="88"/>
        <v>0</v>
      </c>
      <c r="V396" s="28" t="s">
        <v>5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18</v>
      </c>
      <c r="O397" s="28">
        <f>COUNTIF(C386:C405,"목")</f>
        <v>0</v>
      </c>
      <c r="P397" s="28" t="s">
        <v>5</v>
      </c>
      <c r="Q397" s="28">
        <f>SUMIF(C386:C405,"목",E386:E405)</f>
        <v>0</v>
      </c>
      <c r="R397" s="28">
        <f>COUNTIF(X386:X405,"목국")</f>
        <v>0</v>
      </c>
      <c r="S397" s="28" t="s">
        <v>5</v>
      </c>
      <c r="T397" s="28">
        <f>SUMIF(X386:X405,"목국",E386:E405)</f>
        <v>0</v>
      </c>
      <c r="U397" s="28">
        <f t="shared" si="88"/>
        <v>0</v>
      </c>
      <c r="V397" s="28" t="s">
        <v>5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19</v>
      </c>
      <c r="O398" s="28">
        <f>COUNTIF(C386:C405,"잡")</f>
        <v>0</v>
      </c>
      <c r="P398" s="28" t="s">
        <v>5</v>
      </c>
      <c r="Q398" s="28">
        <f>SUMIF(C386:C405,"잡",E386:E405)</f>
        <v>0</v>
      </c>
      <c r="R398" s="28">
        <f>COUNTIF(X386:X405,"잡국")</f>
        <v>0</v>
      </c>
      <c r="S398" s="28" t="s">
        <v>5</v>
      </c>
      <c r="T398" s="28">
        <f>SUMIF(X386:X405,"잡국",E386:E405)</f>
        <v>0</v>
      </c>
      <c r="U398" s="28">
        <f t="shared" si="88"/>
        <v>0</v>
      </c>
      <c r="V398" s="28" t="s">
        <v>5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23</v>
      </c>
      <c r="O399" s="28">
        <f>COUNTIF(C386:C405,"학")</f>
        <v>0</v>
      </c>
      <c r="P399" s="28" t="s">
        <v>5</v>
      </c>
      <c r="Q399" s="28">
        <f>SUMIF(C386:C405,"학",E386:E405)</f>
        <v>0</v>
      </c>
      <c r="R399" s="28">
        <f>COUNTIF(X386:X405,"학국")</f>
        <v>0</v>
      </c>
      <c r="S399" s="28" t="s">
        <v>5</v>
      </c>
      <c r="T399" s="28">
        <f>SUMIF(X386:X405,"학국",E386:E405)</f>
        <v>0</v>
      </c>
      <c r="U399" s="28">
        <f t="shared" si="88"/>
        <v>0</v>
      </c>
      <c r="V399" s="28" t="s">
        <v>5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20</v>
      </c>
      <c r="O400" s="28">
        <f>COUNTIF(C386:C405,"수")</f>
        <v>0</v>
      </c>
      <c r="P400" s="28" t="s">
        <v>5</v>
      </c>
      <c r="Q400" s="28">
        <f>SUMIF(C386:C405,"수",E386:E405)</f>
        <v>0</v>
      </c>
      <c r="R400" s="28">
        <f>COUNTIF(X386:X405,"수국")</f>
        <v>0</v>
      </c>
      <c r="S400" s="28" t="s">
        <v>5</v>
      </c>
      <c r="T400" s="28">
        <f>SUMIF(X386:X405,"수국",E386:E405)</f>
        <v>0</v>
      </c>
      <c r="U400" s="28">
        <f t="shared" si="88"/>
        <v>0</v>
      </c>
      <c r="V400" s="28" t="s">
        <v>5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21</v>
      </c>
      <c r="O401" s="28">
        <f>COUNTIF(C386:C405,"장")</f>
        <v>0</v>
      </c>
      <c r="P401" s="28" t="s">
        <v>5</v>
      </c>
      <c r="Q401" s="28">
        <f>SUMIF(C386:C405,"장",E386:E405)</f>
        <v>0</v>
      </c>
      <c r="R401" s="28">
        <f>COUNTIF(X386:X405,"장국")</f>
        <v>0</v>
      </c>
      <c r="S401" s="28" t="s">
        <v>5</v>
      </c>
      <c r="T401" s="28">
        <f>SUMIF(X386:X405,"장국",E386:E405)</f>
        <v>0</v>
      </c>
      <c r="U401" s="28">
        <f t="shared" si="88"/>
        <v>0</v>
      </c>
      <c r="V401" s="28" t="s">
        <v>5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24</v>
      </c>
      <c r="O405" s="28">
        <f>COUNTIF(C386:C405," ")</f>
        <v>0</v>
      </c>
      <c r="P405" s="28" t="s">
        <v>5</v>
      </c>
      <c r="Q405" s="28">
        <f>SUMIF(C386:C405," ",E386:E405)</f>
        <v>0</v>
      </c>
      <c r="R405" s="28"/>
      <c r="S405" s="28" t="s">
        <v>5</v>
      </c>
      <c r="T405" s="28"/>
      <c r="U405" s="28">
        <f>O405</f>
        <v>0</v>
      </c>
      <c r="V405" s="28" t="s">
        <v>5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39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3</v>
      </c>
      <c r="O406" s="28">
        <f>SUM(O386:O405)</f>
        <v>0</v>
      </c>
      <c r="P406" s="28" t="s">
        <v>5</v>
      </c>
      <c r="Q406" s="28">
        <f>SUM(Q386:Q405)</f>
        <v>0</v>
      </c>
      <c r="R406" s="28">
        <f>SUM(R386:R405)</f>
        <v>0</v>
      </c>
      <c r="S406" s="28" t="s">
        <v>5</v>
      </c>
      <c r="T406" s="28">
        <f>SUM(T386:T405)</f>
        <v>0</v>
      </c>
      <c r="U406" s="28">
        <f>SUM(U386:U405)</f>
        <v>0</v>
      </c>
      <c r="V406" s="28" t="s">
        <v>5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7</v>
      </c>
      <c r="O407" s="28">
        <f>COUNTIF(C407:C426,"전")</f>
        <v>0</v>
      </c>
      <c r="P407" s="28" t="s">
        <v>5</v>
      </c>
      <c r="Q407" s="28">
        <f>SUMIF(C407:C426,"전",E407:E426)</f>
        <v>0</v>
      </c>
      <c r="R407" s="28">
        <f>COUNTIF(X407:X426,"전국")</f>
        <v>0</v>
      </c>
      <c r="S407" s="28" t="s">
        <v>5</v>
      </c>
      <c r="T407" s="28">
        <f>SUMIF(X407:X426,"전국",E407:E426)</f>
        <v>0</v>
      </c>
      <c r="U407" s="28">
        <f t="shared" ref="U407:U422" si="92">O407-R407</f>
        <v>0</v>
      </c>
      <c r="V407" s="28" t="s">
        <v>5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8</v>
      </c>
      <c r="O408" s="28">
        <f>COUNTIF(C407:C426,"답")</f>
        <v>0</v>
      </c>
      <c r="P408" s="28" t="s">
        <v>5</v>
      </c>
      <c r="Q408" s="28">
        <f>SUMIF(C407:C426,"답",E407:E426)</f>
        <v>0</v>
      </c>
      <c r="R408" s="28">
        <f>COUNTIF(X407:X426,"답국")</f>
        <v>0</v>
      </c>
      <c r="S408" s="28" t="s">
        <v>5</v>
      </c>
      <c r="T408" s="28">
        <f>SUMIF(X407:X426,"답국",E407:E426)</f>
        <v>0</v>
      </c>
      <c r="U408" s="28">
        <f t="shared" si="92"/>
        <v>0</v>
      </c>
      <c r="V408" s="28" t="s">
        <v>5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9</v>
      </c>
      <c r="O409" s="28">
        <f>COUNTIF(C407:C426,"임")</f>
        <v>0</v>
      </c>
      <c r="P409" s="28" t="s">
        <v>5</v>
      </c>
      <c r="Q409" s="28">
        <f>SUMIF(C407:C426,"임",E407:E426)</f>
        <v>0</v>
      </c>
      <c r="R409" s="28">
        <f>COUNTIF(X407:X426,"임국")</f>
        <v>0</v>
      </c>
      <c r="S409" s="28" t="s">
        <v>5</v>
      </c>
      <c r="T409" s="28">
        <f>SUMIF(X407:X426,"임국",E407:E426)</f>
        <v>0</v>
      </c>
      <c r="U409" s="28">
        <f t="shared" si="92"/>
        <v>0</v>
      </c>
      <c r="V409" s="28" t="s">
        <v>5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10</v>
      </c>
      <c r="O410" s="28">
        <f>COUNTIF(C407:C426,"대")</f>
        <v>0</v>
      </c>
      <c r="P410" s="28" t="s">
        <v>5</v>
      </c>
      <c r="Q410" s="28">
        <f>SUMIF(C407:C426,"대",E407:E426)</f>
        <v>0</v>
      </c>
      <c r="R410" s="28">
        <f>COUNTIF(X407:X426,"대국")</f>
        <v>0</v>
      </c>
      <c r="S410" s="28" t="s">
        <v>5</v>
      </c>
      <c r="T410" s="28">
        <f>SUMIF(X407:X426,"대국",E407:E426)</f>
        <v>0</v>
      </c>
      <c r="U410" s="28">
        <f t="shared" si="92"/>
        <v>0</v>
      </c>
      <c r="V410" s="28" t="s">
        <v>5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11</v>
      </c>
      <c r="O411" s="28">
        <f>COUNTIF(C407:C426,"도")</f>
        <v>0</v>
      </c>
      <c r="P411" s="28" t="s">
        <v>5</v>
      </c>
      <c r="Q411" s="28">
        <f>SUMIF(C407:C426,"도",E407:E426)</f>
        <v>0</v>
      </c>
      <c r="R411" s="28">
        <f>COUNTIF(X407:X426,"도국")</f>
        <v>0</v>
      </c>
      <c r="S411" s="28" t="s">
        <v>5</v>
      </c>
      <c r="T411" s="28">
        <f>SUMIF(X407:X426,"도국",E407:E426)</f>
        <v>0</v>
      </c>
      <c r="U411" s="28">
        <f t="shared" si="92"/>
        <v>0</v>
      </c>
      <c r="V411" s="28" t="s">
        <v>5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12</v>
      </c>
      <c r="O412" s="28">
        <f>COUNTIF(C407:C426,"천")</f>
        <v>0</v>
      </c>
      <c r="P412" s="28" t="s">
        <v>5</v>
      </c>
      <c r="Q412" s="28">
        <f>SUMIF(C407:C426,"천",E407:E426)</f>
        <v>0</v>
      </c>
      <c r="R412" s="28">
        <f>COUNTIF(X407:X426,"천국")</f>
        <v>0</v>
      </c>
      <c r="S412" s="28" t="s">
        <v>5</v>
      </c>
      <c r="T412" s="28">
        <f>SUMIF(X407:X426,"천국",E407:E426)</f>
        <v>0</v>
      </c>
      <c r="U412" s="28">
        <f t="shared" si="92"/>
        <v>0</v>
      </c>
      <c r="V412" s="28" t="s">
        <v>5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13</v>
      </c>
      <c r="O413" s="28">
        <f>COUNTIF(C407:C426,"구")</f>
        <v>0</v>
      </c>
      <c r="P413" s="28" t="s">
        <v>5</v>
      </c>
      <c r="Q413" s="28">
        <f>SUMIF(C407:C426,"구",E407:E426)</f>
        <v>0</v>
      </c>
      <c r="R413" s="28">
        <f>COUNTIF(X407:X426,"구국")</f>
        <v>0</v>
      </c>
      <c r="S413" s="28" t="s">
        <v>5</v>
      </c>
      <c r="T413" s="28">
        <f>SUMIF(X407:X426,"구국",E407:E426)</f>
        <v>0</v>
      </c>
      <c r="U413" s="28">
        <f t="shared" si="92"/>
        <v>0</v>
      </c>
      <c r="V413" s="28" t="s">
        <v>5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14</v>
      </c>
      <c r="O414" s="28">
        <f>COUNTIF(C407:C426,"제")</f>
        <v>0</v>
      </c>
      <c r="P414" s="28" t="s">
        <v>5</v>
      </c>
      <c r="Q414" s="28">
        <f>SUMIF(C407:C426,"제",E407:E426)</f>
        <v>0</v>
      </c>
      <c r="R414" s="28">
        <f>COUNTIF(X407:X426,"제국")</f>
        <v>0</v>
      </c>
      <c r="S414" s="28" t="s">
        <v>5</v>
      </c>
      <c r="T414" s="28">
        <f>SUMIF(X407:X426,"제국",E407:E426)</f>
        <v>0</v>
      </c>
      <c r="U414" s="28">
        <f t="shared" si="92"/>
        <v>0</v>
      </c>
      <c r="V414" s="28" t="s">
        <v>5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15</v>
      </c>
      <c r="O415" s="28">
        <f>COUNTIF(C407:C426,"유")</f>
        <v>0</v>
      </c>
      <c r="P415" s="28" t="s">
        <v>5</v>
      </c>
      <c r="Q415" s="28">
        <f>SUMIF(C407:C426,"유",E407:E426)</f>
        <v>0</v>
      </c>
      <c r="R415" s="28">
        <f>COUNTIF(X407:X426,"유국")</f>
        <v>0</v>
      </c>
      <c r="S415" s="28" t="s">
        <v>5</v>
      </c>
      <c r="T415" s="28">
        <f>SUMIF(X407:X426,"유국",E407:E426)</f>
        <v>0</v>
      </c>
      <c r="U415" s="28">
        <f t="shared" si="92"/>
        <v>0</v>
      </c>
      <c r="V415" s="28" t="s">
        <v>5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16</v>
      </c>
      <c r="O416" s="28">
        <f>COUNTIF(C407:C426,"과")</f>
        <v>0</v>
      </c>
      <c r="P416" s="28" t="s">
        <v>5</v>
      </c>
      <c r="Q416" s="28">
        <f>SUMIF(C407:C426,"과",E407:E426)</f>
        <v>0</v>
      </c>
      <c r="R416" s="28">
        <f>COUNTIF(X407:X426,"과국")</f>
        <v>0</v>
      </c>
      <c r="S416" s="28" t="s">
        <v>5</v>
      </c>
      <c r="T416" s="28">
        <f>SUMIF(X407:X426,"과국",E407:E426)</f>
        <v>0</v>
      </c>
      <c r="U416" s="28">
        <f t="shared" si="92"/>
        <v>0</v>
      </c>
      <c r="V416" s="28" t="s">
        <v>5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17</v>
      </c>
      <c r="O417" s="28">
        <f>COUNTIF(C407:C426,"묘")</f>
        <v>0</v>
      </c>
      <c r="P417" s="28" t="s">
        <v>5</v>
      </c>
      <c r="Q417" s="28">
        <f>SUMIF(C407:C426,"묘",E407:E426)</f>
        <v>0</v>
      </c>
      <c r="R417" s="28">
        <f>COUNTIF(X407:X426,"묘국")</f>
        <v>0</v>
      </c>
      <c r="S417" s="28" t="s">
        <v>5</v>
      </c>
      <c r="T417" s="28">
        <f>SUMIF(X407:X426,"묘국",E407:E426)</f>
        <v>0</v>
      </c>
      <c r="U417" s="28">
        <f t="shared" si="92"/>
        <v>0</v>
      </c>
      <c r="V417" s="28" t="s">
        <v>5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18</v>
      </c>
      <c r="O418" s="28">
        <f>COUNTIF(C407:C426,"목")</f>
        <v>0</v>
      </c>
      <c r="P418" s="28" t="s">
        <v>5</v>
      </c>
      <c r="Q418" s="28">
        <f>SUMIF(C407:C426,"목",E407:E426)</f>
        <v>0</v>
      </c>
      <c r="R418" s="28">
        <f>COUNTIF(X407:X426,"목국")</f>
        <v>0</v>
      </c>
      <c r="S418" s="28" t="s">
        <v>5</v>
      </c>
      <c r="T418" s="28">
        <f>SUMIF(X407:X426,"목국",E407:E426)</f>
        <v>0</v>
      </c>
      <c r="U418" s="28">
        <f t="shared" si="92"/>
        <v>0</v>
      </c>
      <c r="V418" s="28" t="s">
        <v>5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19</v>
      </c>
      <c r="O419" s="28">
        <f>COUNTIF(C407:C426,"잡")</f>
        <v>0</v>
      </c>
      <c r="P419" s="28" t="s">
        <v>5</v>
      </c>
      <c r="Q419" s="28">
        <f>SUMIF(C407:C426,"잡",E407:E426)</f>
        <v>0</v>
      </c>
      <c r="R419" s="28">
        <f>COUNTIF(X407:X426,"잡국")</f>
        <v>0</v>
      </c>
      <c r="S419" s="28" t="s">
        <v>5</v>
      </c>
      <c r="T419" s="28">
        <f>SUMIF(X407:X426,"잡국",E407:E426)</f>
        <v>0</v>
      </c>
      <c r="U419" s="28">
        <f t="shared" si="92"/>
        <v>0</v>
      </c>
      <c r="V419" s="28" t="s">
        <v>5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23</v>
      </c>
      <c r="O420" s="28">
        <f>COUNTIF(C407:C426,"학")</f>
        <v>0</v>
      </c>
      <c r="P420" s="28" t="s">
        <v>5</v>
      </c>
      <c r="Q420" s="28">
        <f>SUMIF(C407:C426,"학",E407:E426)</f>
        <v>0</v>
      </c>
      <c r="R420" s="28">
        <f>COUNTIF(X407:X426,"학국")</f>
        <v>0</v>
      </c>
      <c r="S420" s="28" t="s">
        <v>5</v>
      </c>
      <c r="T420" s="28">
        <f>SUMIF(X407:X426,"학국",E407:E426)</f>
        <v>0</v>
      </c>
      <c r="U420" s="28">
        <f t="shared" si="92"/>
        <v>0</v>
      </c>
      <c r="V420" s="28" t="s">
        <v>5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20</v>
      </c>
      <c r="O421" s="28">
        <f>COUNTIF(C407:C426,"수")</f>
        <v>0</v>
      </c>
      <c r="P421" s="28" t="s">
        <v>5</v>
      </c>
      <c r="Q421" s="28">
        <f>SUMIF(C407:C426,"수",E407:E426)</f>
        <v>0</v>
      </c>
      <c r="R421" s="28">
        <f>COUNTIF(X407:X426,"수국")</f>
        <v>0</v>
      </c>
      <c r="S421" s="28" t="s">
        <v>5</v>
      </c>
      <c r="T421" s="28">
        <f>SUMIF(X407:X426,"수국",E407:E426)</f>
        <v>0</v>
      </c>
      <c r="U421" s="28">
        <f t="shared" si="92"/>
        <v>0</v>
      </c>
      <c r="V421" s="28" t="s">
        <v>5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21</v>
      </c>
      <c r="O422" s="28">
        <f>COUNTIF(C407:C426,"장")</f>
        <v>0</v>
      </c>
      <c r="P422" s="28" t="s">
        <v>5</v>
      </c>
      <c r="Q422" s="28">
        <f>SUMIF(C407:C426,"장",E407:E426)</f>
        <v>0</v>
      </c>
      <c r="R422" s="28">
        <f>COUNTIF(X407:X426,"장국")</f>
        <v>0</v>
      </c>
      <c r="S422" s="28" t="s">
        <v>5</v>
      </c>
      <c r="T422" s="28">
        <f>SUMIF(X407:X426,"장국",E407:E426)</f>
        <v>0</v>
      </c>
      <c r="U422" s="28">
        <f t="shared" si="92"/>
        <v>0</v>
      </c>
      <c r="V422" s="28" t="s">
        <v>5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24</v>
      </c>
      <c r="O426" s="28">
        <f>COUNTIF(C407:C426," ")</f>
        <v>0</v>
      </c>
      <c r="P426" s="28" t="s">
        <v>5</v>
      </c>
      <c r="Q426" s="28">
        <f>SUMIF(C407:C426," ",E407:E426)</f>
        <v>0</v>
      </c>
      <c r="R426" s="28"/>
      <c r="S426" s="28" t="s">
        <v>5</v>
      </c>
      <c r="T426" s="28"/>
      <c r="U426" s="28">
        <f>O426</f>
        <v>0</v>
      </c>
      <c r="V426" s="28" t="s">
        <v>5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39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3</v>
      </c>
      <c r="O427" s="28">
        <f>SUM(O407:O426)</f>
        <v>0</v>
      </c>
      <c r="P427" s="28" t="s">
        <v>5</v>
      </c>
      <c r="Q427" s="28">
        <f>SUM(Q407:Q426)</f>
        <v>0</v>
      </c>
      <c r="R427" s="28">
        <f>SUM(R407:R426)</f>
        <v>0</v>
      </c>
      <c r="S427" s="28" t="s">
        <v>5</v>
      </c>
      <c r="T427" s="28">
        <f>SUM(T407:T426)</f>
        <v>0</v>
      </c>
      <c r="U427" s="28">
        <f>SUM(U407:U426)</f>
        <v>0</v>
      </c>
      <c r="V427" s="28" t="s">
        <v>5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11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34</vt:i4>
      </vt:variant>
      <vt:variant>
        <vt:lpstr>이름이 지정된 범위</vt:lpstr>
      </vt:variant>
      <vt:variant>
        <vt:i4>44</vt:i4>
      </vt:variant>
    </vt:vector>
  </HeadingPairs>
  <TitlesOfParts>
    <vt:vector size="78" baseType="lpstr">
      <vt:lpstr>증가집계표</vt:lpstr>
      <vt:lpstr>전체집계표-소유별</vt:lpstr>
      <vt:lpstr>전체집계표-구역별</vt:lpstr>
      <vt:lpstr>집계표(마산리)</vt:lpstr>
      <vt:lpstr>마산리집계표(당초)</vt:lpstr>
      <vt:lpstr>마산리집계표 (변경)</vt:lpstr>
      <vt:lpstr>집계표(감암리)</vt:lpstr>
      <vt:lpstr>공고용</vt:lpstr>
      <vt:lpstr>Sheet2</vt:lpstr>
      <vt:lpstr>고천리집계표 (2)</vt:lpstr>
      <vt:lpstr>고천리 (2)</vt:lpstr>
      <vt:lpstr>고천리참고조서</vt:lpstr>
      <vt:lpstr>내리2구간집계표</vt:lpstr>
      <vt:lpstr>내리2구간</vt:lpstr>
      <vt:lpstr>이뒤로출력안함</vt:lpstr>
      <vt:lpstr>신흥리집계표</vt:lpstr>
      <vt:lpstr>신흥리</vt:lpstr>
      <vt:lpstr>죽림리집계표</vt:lpstr>
      <vt:lpstr>죽림리</vt:lpstr>
      <vt:lpstr>용지조서(6)</vt:lpstr>
      <vt:lpstr>용지조서(7)</vt:lpstr>
      <vt:lpstr>용지조서(8)</vt:lpstr>
      <vt:lpstr>용지조서(9)</vt:lpstr>
      <vt:lpstr>용지조서(10)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'고천리 (2)'!Print_Area</vt:lpstr>
      <vt:lpstr>'고천리집계표 (2)'!Print_Area</vt:lpstr>
      <vt:lpstr>고천리참고조서!Print_Area</vt:lpstr>
      <vt:lpstr>공고용!Print_Area</vt:lpstr>
      <vt:lpstr>내리2구간!Print_Area</vt:lpstr>
      <vt:lpstr>내리2구간집계표!Print_Area</vt:lpstr>
      <vt:lpstr>'마산리집계표 (변경)'!Print_Area</vt:lpstr>
      <vt:lpstr>'마산리집계표(당초)'!Print_Area</vt:lpstr>
      <vt:lpstr>신흥리!Print_Area</vt:lpstr>
      <vt:lpstr>신흥리집계표!Print_Area</vt:lpstr>
      <vt:lpstr>'전체집계표-구역별'!Print_Area</vt:lpstr>
      <vt:lpstr>'전체집계표-소유별'!Print_Area</vt:lpstr>
      <vt:lpstr>죽림리!Print_Area</vt:lpstr>
      <vt:lpstr>죽림리집계표!Print_Area</vt:lpstr>
      <vt:lpstr>'집계표(감암리)'!Print_Area</vt:lpstr>
      <vt:lpstr>'집계표(마산리)'!Print_Area</vt:lpstr>
      <vt:lpstr>'고천리 (2)'!Print_Titles</vt:lpstr>
      <vt:lpstr>'고천리집계표 (2)'!Print_Titles</vt:lpstr>
      <vt:lpstr>고천리참고조서!Print_Titles</vt:lpstr>
      <vt:lpstr>공고용!Print_Titles</vt:lpstr>
      <vt:lpstr>내리2구간!Print_Titles</vt:lpstr>
      <vt:lpstr>내리2구간집계표!Print_Titles</vt:lpstr>
      <vt:lpstr>'마산리집계표 (변경)'!Print_Titles</vt:lpstr>
      <vt:lpstr>'마산리집계표(당초)'!Print_Titles</vt:lpstr>
      <vt:lpstr>신흥리!Print_Titles</vt:lpstr>
      <vt:lpstr>신흥리집계표!Print_Titles</vt:lpstr>
      <vt:lpstr>'용지조서(10)'!Print_Titles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'용지조서(6)'!Print_Titles</vt:lpstr>
      <vt:lpstr>'용지조서(7)'!Print_Titles</vt:lpstr>
      <vt:lpstr>'용지조서(8)'!Print_Titles</vt:lpstr>
      <vt:lpstr>'용지조서(9)'!Print_Titles</vt:lpstr>
      <vt:lpstr>'전체집계표-소유별'!Print_Titles</vt:lpstr>
      <vt:lpstr>죽림리!Print_Titles</vt:lpstr>
      <vt:lpstr>죽림리집계표!Print_Titles</vt:lpstr>
    </vt:vector>
  </TitlesOfParts>
  <Manager>박명석</Manager>
  <Company>유신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용지조서</dc:title>
  <dc:creator>박명석</dc:creator>
  <cp:lastModifiedBy>user</cp:lastModifiedBy>
  <cp:lastPrinted>2019-07-02T11:08:28Z</cp:lastPrinted>
  <dcterms:created xsi:type="dcterms:W3CDTF">2002-07-19T02:07:34Z</dcterms:created>
  <dcterms:modified xsi:type="dcterms:W3CDTF">2019-09-11T01:33:17Z</dcterms:modified>
</cp:coreProperties>
</file>